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764"/>
  </bookViews>
  <sheets>
    <sheet name="RESUMO-proposta" sheetId="4" r:id="rId1"/>
    <sheet name="engeletr.arq" sheetId="1" r:id="rId2"/>
    <sheet name="engcivil.arq" sheetId="14" r:id="rId3"/>
    <sheet name="engmec" sheetId="13" r:id="rId4"/>
    <sheet name="EPIs" sheetId="2" r:id="rId5"/>
    <sheet name="Hora extra" sheetId="3" r:id="rId6"/>
    <sheet name="Deslocamento 1 município" sheetId="5" r:id="rId7"/>
    <sheet name="Deslocamento 2 municípios" sheetId="6" r:id="rId8"/>
    <sheet name="Deslocamento 3 municípios" sheetId="7" r:id="rId9"/>
    <sheet name="Deslocamento 4 municípios" sheetId="8" r:id="rId10"/>
    <sheet name="Deslocamento 5 municípios" sheetId="9" r:id="rId11"/>
    <sheet name="DESLOC.MÉDIO" sheetId="10" r:id="rId12"/>
    <sheet name="TOTAL DESLOCAMENTO" sheetId="11" r:id="rId13"/>
  </sheets>
  <definedNames>
    <definedName name="_xlnm.Print_Area" localSheetId="11">DESLOC.MÉDIO!$A$1:$B$11</definedName>
    <definedName name="_xlnm.Print_Area" localSheetId="6">'Deslocamento 1 município'!$A$1:$O$37</definedName>
    <definedName name="_xlnm.Print_Area" localSheetId="7">'Deslocamento 2 municípios'!$A$1:$O$46</definedName>
    <definedName name="_xlnm.Print_Area" localSheetId="8">'Deslocamento 3 municípios'!$A$1:$O$43</definedName>
    <definedName name="_xlnm.Print_Area" localSheetId="9">'Deslocamento 4 municípios'!$A$1:$O$40</definedName>
    <definedName name="_xlnm.Print_Area" localSheetId="10">'Deslocamento 5 municípios'!$A$1:$O$36</definedName>
    <definedName name="_xlnm.Print_Area" localSheetId="2">engcivil.arq!$A$1:$D$141</definedName>
    <definedName name="_xlnm.Print_Area" localSheetId="1">engeletr.arq!$A$1:$D$141</definedName>
    <definedName name="_xlnm.Print_Area" localSheetId="3">engmec!$A$1:$D$141</definedName>
    <definedName name="_xlnm.Print_Area" localSheetId="0">'RESUMO-proposta'!$A$1:$G$40</definedName>
    <definedName name="_xlnm.Print_Area" localSheetId="12">'TOTAL DESLOCAMENTO'!$A$1:$C$7</definedName>
    <definedName name="Print_Area" localSheetId="0">'RESUMO-proposta'!$B$2:$J$3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8" i="3" l="1"/>
  <c r="B22" i="4" l="1"/>
  <c r="B21" i="4"/>
  <c r="B20" i="4"/>
  <c r="C128" i="14"/>
  <c r="C124" i="14"/>
  <c r="D114" i="14"/>
  <c r="D116" i="14" s="1"/>
  <c r="D138" i="14" s="1"/>
  <c r="C89" i="14"/>
  <c r="C88" i="14"/>
  <c r="C87" i="14"/>
  <c r="C86" i="14"/>
  <c r="C85" i="14"/>
  <c r="C75" i="14"/>
  <c r="C74" i="14"/>
  <c r="C73" i="14"/>
  <c r="C72" i="14"/>
  <c r="C70" i="14"/>
  <c r="D55" i="14"/>
  <c r="D63" i="14" s="1"/>
  <c r="D50" i="14"/>
  <c r="C44" i="14"/>
  <c r="C29" i="14"/>
  <c r="C28" i="14"/>
  <c r="D20" i="14"/>
  <c r="D13" i="14"/>
  <c r="G8" i="14"/>
  <c r="C124" i="13"/>
  <c r="C128" i="13" s="1"/>
  <c r="D114" i="13"/>
  <c r="D116" i="13" s="1"/>
  <c r="D138" i="13" s="1"/>
  <c r="C89" i="13"/>
  <c r="C88" i="13"/>
  <c r="C87" i="13"/>
  <c r="C86" i="13"/>
  <c r="C85" i="13"/>
  <c r="C75" i="13"/>
  <c r="C73" i="13"/>
  <c r="C72" i="13"/>
  <c r="C70" i="13"/>
  <c r="D50" i="13"/>
  <c r="D55" i="13" s="1"/>
  <c r="D63" i="13" s="1"/>
  <c r="C44" i="13"/>
  <c r="C74" i="13" s="1"/>
  <c r="C29" i="13"/>
  <c r="C28" i="13"/>
  <c r="D13" i="13"/>
  <c r="D20" i="13" s="1"/>
  <c r="G8" i="13"/>
  <c r="B7" i="11"/>
  <c r="B6" i="11"/>
  <c r="B5" i="11"/>
  <c r="D70" i="14" l="1"/>
  <c r="D29" i="14"/>
  <c r="D73" i="14"/>
  <c r="D74" i="14" s="1"/>
  <c r="D28" i="14"/>
  <c r="D30" i="14" s="1"/>
  <c r="D61" i="14" s="1"/>
  <c r="D72" i="14"/>
  <c r="D75" i="14"/>
  <c r="D134" i="14"/>
  <c r="D28" i="13"/>
  <c r="D30" i="13" s="1"/>
  <c r="D61" i="13" s="1"/>
  <c r="D134" i="13"/>
  <c r="D75" i="13"/>
  <c r="D70" i="13"/>
  <c r="D73" i="13"/>
  <c r="D74" i="13" s="1"/>
  <c r="D29" i="13"/>
  <c r="D72" i="13"/>
  <c r="D13" i="1"/>
  <c r="G8" i="1"/>
  <c r="D36" i="9"/>
  <c r="F36" i="9" s="1"/>
  <c r="G36" i="9" s="1"/>
  <c r="H36" i="9" s="1"/>
  <c r="C36" i="9"/>
  <c r="J36" i="9" s="1"/>
  <c r="F35" i="9"/>
  <c r="G35" i="9" s="1"/>
  <c r="H35" i="9" s="1"/>
  <c r="K35" i="9" s="1"/>
  <c r="D35" i="9"/>
  <c r="C35" i="9"/>
  <c r="J35" i="9" s="1"/>
  <c r="F34" i="9"/>
  <c r="G34" i="9" s="1"/>
  <c r="H34" i="9" s="1"/>
  <c r="K34" i="9" s="1"/>
  <c r="D34" i="9"/>
  <c r="C34" i="9"/>
  <c r="J34" i="9" s="1"/>
  <c r="D33" i="9"/>
  <c r="F33" i="9" s="1"/>
  <c r="G33" i="9" s="1"/>
  <c r="H33" i="9" s="1"/>
  <c r="C33" i="9"/>
  <c r="J33" i="9" s="1"/>
  <c r="D32" i="9"/>
  <c r="F32" i="9" s="1"/>
  <c r="G32" i="9" s="1"/>
  <c r="H32" i="9" s="1"/>
  <c r="C32" i="9"/>
  <c r="J32" i="9" s="1"/>
  <c r="D31" i="9"/>
  <c r="F31" i="9" s="1"/>
  <c r="G31" i="9" s="1"/>
  <c r="H31" i="9" s="1"/>
  <c r="C31" i="9"/>
  <c r="J31" i="9" s="1"/>
  <c r="D30" i="9"/>
  <c r="F30" i="9" s="1"/>
  <c r="G30" i="9" s="1"/>
  <c r="H30" i="9" s="1"/>
  <c r="K30" i="9" s="1"/>
  <c r="C30" i="9"/>
  <c r="J30" i="9" s="1"/>
  <c r="J29" i="9"/>
  <c r="D29" i="9"/>
  <c r="F29" i="9" s="1"/>
  <c r="G29" i="9" s="1"/>
  <c r="H29" i="9" s="1"/>
  <c r="C29" i="9"/>
  <c r="D28" i="9"/>
  <c r="F28" i="9" s="1"/>
  <c r="G28" i="9" s="1"/>
  <c r="H28" i="9" s="1"/>
  <c r="C28" i="9"/>
  <c r="J28" i="9" s="1"/>
  <c r="D27" i="9"/>
  <c r="F27" i="9" s="1"/>
  <c r="G27" i="9" s="1"/>
  <c r="H27" i="9" s="1"/>
  <c r="C27" i="9"/>
  <c r="J27" i="9" s="1"/>
  <c r="D26" i="9"/>
  <c r="F26" i="9" s="1"/>
  <c r="G26" i="9" s="1"/>
  <c r="H26" i="9" s="1"/>
  <c r="C26" i="9"/>
  <c r="J26" i="9" s="1"/>
  <c r="J25" i="9"/>
  <c r="D25" i="9"/>
  <c r="F25" i="9" s="1"/>
  <c r="G25" i="9" s="1"/>
  <c r="H25" i="9" s="1"/>
  <c r="C25" i="9"/>
  <c r="F24" i="9"/>
  <c r="G24" i="9" s="1"/>
  <c r="H24" i="9" s="1"/>
  <c r="D24" i="9"/>
  <c r="C24" i="9"/>
  <c r="J24" i="9" s="1"/>
  <c r="D23" i="9"/>
  <c r="F23" i="9" s="1"/>
  <c r="G23" i="9" s="1"/>
  <c r="H23" i="9" s="1"/>
  <c r="C23" i="9"/>
  <c r="J23" i="9" s="1"/>
  <c r="D22" i="9"/>
  <c r="F22" i="9" s="1"/>
  <c r="G22" i="9" s="1"/>
  <c r="H22" i="9" s="1"/>
  <c r="C22" i="9"/>
  <c r="J22" i="9" s="1"/>
  <c r="J21" i="9"/>
  <c r="D21" i="9"/>
  <c r="F21" i="9" s="1"/>
  <c r="G21" i="9" s="1"/>
  <c r="H21" i="9" s="1"/>
  <c r="C21" i="9"/>
  <c r="D20" i="9"/>
  <c r="F20" i="9" s="1"/>
  <c r="G20" i="9" s="1"/>
  <c r="H20" i="9" s="1"/>
  <c r="C20" i="9"/>
  <c r="J20" i="9" s="1"/>
  <c r="D19" i="9"/>
  <c r="F19" i="9" s="1"/>
  <c r="G19" i="9" s="1"/>
  <c r="H19" i="9" s="1"/>
  <c r="C19" i="9"/>
  <c r="J19" i="9" s="1"/>
  <c r="D18" i="9"/>
  <c r="F18" i="9" s="1"/>
  <c r="G18" i="9" s="1"/>
  <c r="H18" i="9" s="1"/>
  <c r="C18" i="9"/>
  <c r="J18" i="9" s="1"/>
  <c r="D17" i="9"/>
  <c r="F17" i="9" s="1"/>
  <c r="G17" i="9" s="1"/>
  <c r="H17" i="9" s="1"/>
  <c r="C17" i="9"/>
  <c r="J17" i="9" s="1"/>
  <c r="J40" i="8"/>
  <c r="F40" i="8"/>
  <c r="G40" i="8" s="1"/>
  <c r="H40" i="8" s="1"/>
  <c r="D40" i="8"/>
  <c r="C40" i="8"/>
  <c r="J39" i="8"/>
  <c r="F39" i="8"/>
  <c r="G39" i="8" s="1"/>
  <c r="H39" i="8" s="1"/>
  <c r="D39" i="8"/>
  <c r="C39" i="8"/>
  <c r="D38" i="8"/>
  <c r="F38" i="8" s="1"/>
  <c r="G38" i="8" s="1"/>
  <c r="H38" i="8" s="1"/>
  <c r="C38" i="8"/>
  <c r="J38" i="8" s="1"/>
  <c r="D37" i="8"/>
  <c r="F37" i="8" s="1"/>
  <c r="G37" i="8" s="1"/>
  <c r="H37" i="8" s="1"/>
  <c r="C37" i="8"/>
  <c r="J37" i="8" s="1"/>
  <c r="J36" i="8"/>
  <c r="G36" i="8"/>
  <c r="H36" i="8" s="1"/>
  <c r="K36" i="8" s="1"/>
  <c r="F36" i="8"/>
  <c r="D36" i="8"/>
  <c r="C36" i="8"/>
  <c r="F35" i="8"/>
  <c r="G35" i="8" s="1"/>
  <c r="H35" i="8" s="1"/>
  <c r="I35" i="8" s="1"/>
  <c r="L35" i="8" s="1"/>
  <c r="D35" i="8"/>
  <c r="C35" i="8"/>
  <c r="J35" i="8" s="1"/>
  <c r="D34" i="8"/>
  <c r="F34" i="8" s="1"/>
  <c r="G34" i="8" s="1"/>
  <c r="H34" i="8" s="1"/>
  <c r="C34" i="8"/>
  <c r="J34" i="8" s="1"/>
  <c r="F33" i="8"/>
  <c r="G33" i="8" s="1"/>
  <c r="H33" i="8" s="1"/>
  <c r="K33" i="8" s="1"/>
  <c r="D33" i="8"/>
  <c r="C33" i="8"/>
  <c r="J33" i="8" s="1"/>
  <c r="J32" i="8"/>
  <c r="D32" i="8"/>
  <c r="F32" i="8" s="1"/>
  <c r="G32" i="8" s="1"/>
  <c r="H32" i="8" s="1"/>
  <c r="I32" i="8" s="1"/>
  <c r="L32" i="8" s="1"/>
  <c r="C32" i="8"/>
  <c r="J31" i="8"/>
  <c r="F31" i="8"/>
  <c r="G31" i="8" s="1"/>
  <c r="H31" i="8" s="1"/>
  <c r="I31" i="8" s="1"/>
  <c r="L31" i="8" s="1"/>
  <c r="D31" i="8"/>
  <c r="C31" i="8"/>
  <c r="D30" i="8"/>
  <c r="F30" i="8" s="1"/>
  <c r="G30" i="8" s="1"/>
  <c r="H30" i="8" s="1"/>
  <c r="C30" i="8"/>
  <c r="J30" i="8" s="1"/>
  <c r="J29" i="8"/>
  <c r="D29" i="8"/>
  <c r="F29" i="8" s="1"/>
  <c r="G29" i="8" s="1"/>
  <c r="H29" i="8" s="1"/>
  <c r="K29" i="8" s="1"/>
  <c r="C29" i="8"/>
  <c r="J28" i="8"/>
  <c r="G28" i="8"/>
  <c r="H28" i="8" s="1"/>
  <c r="K28" i="8" s="1"/>
  <c r="F28" i="8"/>
  <c r="D28" i="8"/>
  <c r="C28" i="8"/>
  <c r="F27" i="8"/>
  <c r="G27" i="8" s="1"/>
  <c r="H27" i="8" s="1"/>
  <c r="D27" i="8"/>
  <c r="C27" i="8"/>
  <c r="J27" i="8" s="1"/>
  <c r="D26" i="8"/>
  <c r="F26" i="8" s="1"/>
  <c r="G26" i="8" s="1"/>
  <c r="H26" i="8" s="1"/>
  <c r="C26" i="8"/>
  <c r="J26" i="8" s="1"/>
  <c r="J25" i="8"/>
  <c r="F25" i="8"/>
  <c r="G25" i="8" s="1"/>
  <c r="H25" i="8" s="1"/>
  <c r="D25" i="8"/>
  <c r="C25" i="8"/>
  <c r="J24" i="8"/>
  <c r="F24" i="8"/>
  <c r="G24" i="8" s="1"/>
  <c r="H24" i="8" s="1"/>
  <c r="D24" i="8"/>
  <c r="C24" i="8"/>
  <c r="J23" i="8"/>
  <c r="D23" i="8"/>
  <c r="F23" i="8" s="1"/>
  <c r="G23" i="8" s="1"/>
  <c r="H23" i="8" s="1"/>
  <c r="C23" i="8"/>
  <c r="D22" i="8"/>
  <c r="F22" i="8" s="1"/>
  <c r="G22" i="8" s="1"/>
  <c r="H22" i="8" s="1"/>
  <c r="C22" i="8"/>
  <c r="J22" i="8" s="1"/>
  <c r="D21" i="8"/>
  <c r="F21" i="8" s="1"/>
  <c r="G21" i="8" s="1"/>
  <c r="H21" i="8" s="1"/>
  <c r="C21" i="8"/>
  <c r="J21" i="8" s="1"/>
  <c r="J20" i="8"/>
  <c r="F20" i="8"/>
  <c r="G20" i="8" s="1"/>
  <c r="H20" i="8" s="1"/>
  <c r="D20" i="8"/>
  <c r="C20" i="8"/>
  <c r="F19" i="8"/>
  <c r="G19" i="8" s="1"/>
  <c r="H19" i="8" s="1"/>
  <c r="D19" i="8"/>
  <c r="C19" i="8"/>
  <c r="J19" i="8" s="1"/>
  <c r="D18" i="8"/>
  <c r="F18" i="8" s="1"/>
  <c r="G18" i="8" s="1"/>
  <c r="H18" i="8" s="1"/>
  <c r="C18" i="8"/>
  <c r="J18" i="8" s="1"/>
  <c r="D43" i="7"/>
  <c r="F43" i="7" s="1"/>
  <c r="G43" i="7" s="1"/>
  <c r="H43" i="7" s="1"/>
  <c r="K43" i="7" s="1"/>
  <c r="C43" i="7"/>
  <c r="J43" i="7" s="1"/>
  <c r="F42" i="7"/>
  <c r="G42" i="7" s="1"/>
  <c r="H42" i="7" s="1"/>
  <c r="K42" i="7" s="1"/>
  <c r="D42" i="7"/>
  <c r="C42" i="7"/>
  <c r="J42" i="7" s="1"/>
  <c r="J41" i="7"/>
  <c r="D41" i="7"/>
  <c r="F41" i="7" s="1"/>
  <c r="G41" i="7" s="1"/>
  <c r="H41" i="7" s="1"/>
  <c r="C41" i="7"/>
  <c r="D40" i="7"/>
  <c r="F40" i="7" s="1"/>
  <c r="G40" i="7" s="1"/>
  <c r="H40" i="7" s="1"/>
  <c r="C40" i="7"/>
  <c r="J40" i="7" s="1"/>
  <c r="H39" i="7"/>
  <c r="D39" i="7"/>
  <c r="F39" i="7" s="1"/>
  <c r="G39" i="7" s="1"/>
  <c r="C39" i="7"/>
  <c r="J39" i="7" s="1"/>
  <c r="D38" i="7"/>
  <c r="F38" i="7" s="1"/>
  <c r="G38" i="7" s="1"/>
  <c r="H38" i="7" s="1"/>
  <c r="C38" i="7"/>
  <c r="J38" i="7" s="1"/>
  <c r="J37" i="7"/>
  <c r="D37" i="7"/>
  <c r="F37" i="7" s="1"/>
  <c r="G37" i="7" s="1"/>
  <c r="H37" i="7" s="1"/>
  <c r="K37" i="7" s="1"/>
  <c r="C37" i="7"/>
  <c r="F36" i="7"/>
  <c r="G36" i="7" s="1"/>
  <c r="H36" i="7" s="1"/>
  <c r="I36" i="7" s="1"/>
  <c r="L36" i="7" s="1"/>
  <c r="D36" i="7"/>
  <c r="C36" i="7"/>
  <c r="J36" i="7" s="1"/>
  <c r="D35" i="7"/>
  <c r="F35" i="7" s="1"/>
  <c r="G35" i="7" s="1"/>
  <c r="H35" i="7" s="1"/>
  <c r="C35" i="7"/>
  <c r="J35" i="7" s="1"/>
  <c r="D34" i="7"/>
  <c r="F34" i="7" s="1"/>
  <c r="G34" i="7" s="1"/>
  <c r="H34" i="7" s="1"/>
  <c r="C34" i="7"/>
  <c r="J34" i="7" s="1"/>
  <c r="J33" i="7"/>
  <c r="F33" i="7"/>
  <c r="G33" i="7" s="1"/>
  <c r="H33" i="7" s="1"/>
  <c r="D33" i="7"/>
  <c r="C33" i="7"/>
  <c r="D32" i="7"/>
  <c r="F32" i="7" s="1"/>
  <c r="G32" i="7" s="1"/>
  <c r="H32" i="7" s="1"/>
  <c r="C32" i="7"/>
  <c r="J32" i="7" s="1"/>
  <c r="G31" i="7"/>
  <c r="H31" i="7" s="1"/>
  <c r="K31" i="7" s="1"/>
  <c r="D31" i="7"/>
  <c r="F31" i="7" s="1"/>
  <c r="C31" i="7"/>
  <c r="J31" i="7" s="1"/>
  <c r="D30" i="7"/>
  <c r="F30" i="7" s="1"/>
  <c r="G30" i="7" s="1"/>
  <c r="H30" i="7" s="1"/>
  <c r="C30" i="7"/>
  <c r="J30" i="7" s="1"/>
  <c r="J29" i="7"/>
  <c r="D29" i="7"/>
  <c r="F29" i="7" s="1"/>
  <c r="G29" i="7" s="1"/>
  <c r="H29" i="7" s="1"/>
  <c r="C29" i="7"/>
  <c r="F28" i="7"/>
  <c r="G28" i="7" s="1"/>
  <c r="H28" i="7" s="1"/>
  <c r="K28" i="7" s="1"/>
  <c r="D28" i="7"/>
  <c r="C28" i="7"/>
  <c r="J28" i="7" s="1"/>
  <c r="F27" i="7"/>
  <c r="G27" i="7" s="1"/>
  <c r="H27" i="7" s="1"/>
  <c r="D27" i="7"/>
  <c r="C27" i="7"/>
  <c r="J27" i="7" s="1"/>
  <c r="J26" i="7"/>
  <c r="D26" i="7"/>
  <c r="F26" i="7" s="1"/>
  <c r="G26" i="7" s="1"/>
  <c r="H26" i="7" s="1"/>
  <c r="C26" i="7"/>
  <c r="F25" i="7"/>
  <c r="G25" i="7" s="1"/>
  <c r="H25" i="7" s="1"/>
  <c r="I25" i="7" s="1"/>
  <c r="L25" i="7" s="1"/>
  <c r="D25" i="7"/>
  <c r="C25" i="7"/>
  <c r="J25" i="7" s="1"/>
  <c r="J24" i="7"/>
  <c r="D24" i="7"/>
  <c r="F24" i="7" s="1"/>
  <c r="G24" i="7" s="1"/>
  <c r="H24" i="7" s="1"/>
  <c r="C24" i="7"/>
  <c r="D23" i="7"/>
  <c r="F23" i="7" s="1"/>
  <c r="G23" i="7" s="1"/>
  <c r="H23" i="7" s="1"/>
  <c r="C23" i="7"/>
  <c r="J23" i="7" s="1"/>
  <c r="J22" i="7"/>
  <c r="D22" i="7"/>
  <c r="F22" i="7" s="1"/>
  <c r="G22" i="7" s="1"/>
  <c r="H22" i="7" s="1"/>
  <c r="K22" i="7" s="1"/>
  <c r="C22" i="7"/>
  <c r="J21" i="7"/>
  <c r="D21" i="7"/>
  <c r="F21" i="7" s="1"/>
  <c r="G21" i="7" s="1"/>
  <c r="H21" i="7" s="1"/>
  <c r="C21" i="7"/>
  <c r="D20" i="7"/>
  <c r="F20" i="7" s="1"/>
  <c r="G20" i="7" s="1"/>
  <c r="H20" i="7" s="1"/>
  <c r="C20" i="7"/>
  <c r="J20" i="7" s="1"/>
  <c r="D19" i="7"/>
  <c r="F19" i="7" s="1"/>
  <c r="G19" i="7" s="1"/>
  <c r="H19" i="7" s="1"/>
  <c r="C19" i="7"/>
  <c r="J19" i="7" s="1"/>
  <c r="D18" i="7"/>
  <c r="F18" i="7" s="1"/>
  <c r="G18" i="7" s="1"/>
  <c r="H18" i="7" s="1"/>
  <c r="C18" i="7"/>
  <c r="J18" i="7" s="1"/>
  <c r="F17" i="7"/>
  <c r="G17" i="7" s="1"/>
  <c r="H17" i="7" s="1"/>
  <c r="I17" i="7" s="1"/>
  <c r="L17" i="7" s="1"/>
  <c r="D17" i="7"/>
  <c r="C17" i="7"/>
  <c r="J17" i="7" s="1"/>
  <c r="H46" i="6"/>
  <c r="F46" i="6"/>
  <c r="G46" i="6" s="1"/>
  <c r="D46" i="6"/>
  <c r="C46" i="6"/>
  <c r="J46" i="6" s="1"/>
  <c r="J45" i="6"/>
  <c r="D45" i="6"/>
  <c r="F45" i="6" s="1"/>
  <c r="G45" i="6" s="1"/>
  <c r="H45" i="6" s="1"/>
  <c r="C45" i="6"/>
  <c r="J44" i="6"/>
  <c r="F44" i="6"/>
  <c r="G44" i="6" s="1"/>
  <c r="H44" i="6" s="1"/>
  <c r="D44" i="6"/>
  <c r="C44" i="6"/>
  <c r="J43" i="6"/>
  <c r="D43" i="6"/>
  <c r="F43" i="6" s="1"/>
  <c r="G43" i="6" s="1"/>
  <c r="H43" i="6" s="1"/>
  <c r="K43" i="6" s="1"/>
  <c r="C43" i="6"/>
  <c r="J42" i="6"/>
  <c r="G42" i="6"/>
  <c r="H42" i="6" s="1"/>
  <c r="F42" i="6"/>
  <c r="D42" i="6"/>
  <c r="C42" i="6"/>
  <c r="D41" i="6"/>
  <c r="F41" i="6" s="1"/>
  <c r="G41" i="6" s="1"/>
  <c r="H41" i="6" s="1"/>
  <c r="I41" i="6" s="1"/>
  <c r="L41" i="6" s="1"/>
  <c r="C41" i="6"/>
  <c r="J41" i="6" s="1"/>
  <c r="J40" i="6"/>
  <c r="F40" i="6"/>
  <c r="G40" i="6" s="1"/>
  <c r="H40" i="6" s="1"/>
  <c r="D40" i="6"/>
  <c r="C40" i="6"/>
  <c r="F39" i="6"/>
  <c r="G39" i="6" s="1"/>
  <c r="H39" i="6" s="1"/>
  <c r="D39" i="6"/>
  <c r="C39" i="6"/>
  <c r="J39" i="6" s="1"/>
  <c r="D38" i="6"/>
  <c r="F38" i="6" s="1"/>
  <c r="G38" i="6" s="1"/>
  <c r="H38" i="6" s="1"/>
  <c r="C38" i="6"/>
  <c r="J38" i="6" s="1"/>
  <c r="J37" i="6"/>
  <c r="G37" i="6"/>
  <c r="H37" i="6" s="1"/>
  <c r="K37" i="6" s="1"/>
  <c r="D37" i="6"/>
  <c r="F37" i="6" s="1"/>
  <c r="C37" i="6"/>
  <c r="J36" i="6"/>
  <c r="D36" i="6"/>
  <c r="F36" i="6" s="1"/>
  <c r="G36" i="6" s="1"/>
  <c r="H36" i="6" s="1"/>
  <c r="C36" i="6"/>
  <c r="G35" i="6"/>
  <c r="H35" i="6" s="1"/>
  <c r="D35" i="6"/>
  <c r="F35" i="6" s="1"/>
  <c r="C35" i="6"/>
  <c r="J35" i="6" s="1"/>
  <c r="F34" i="6"/>
  <c r="G34" i="6" s="1"/>
  <c r="H34" i="6" s="1"/>
  <c r="D34" i="6"/>
  <c r="C34" i="6"/>
  <c r="J34" i="6" s="1"/>
  <c r="G33" i="6"/>
  <c r="H33" i="6" s="1"/>
  <c r="K33" i="6" s="1"/>
  <c r="F33" i="6"/>
  <c r="D33" i="6"/>
  <c r="C33" i="6"/>
  <c r="J33" i="6" s="1"/>
  <c r="J32" i="6"/>
  <c r="F32" i="6"/>
  <c r="G32" i="6" s="1"/>
  <c r="H32" i="6" s="1"/>
  <c r="I32" i="6" s="1"/>
  <c r="L32" i="6" s="1"/>
  <c r="D32" i="6"/>
  <c r="C32" i="6"/>
  <c r="D31" i="6"/>
  <c r="F31" i="6" s="1"/>
  <c r="G31" i="6" s="1"/>
  <c r="H31" i="6" s="1"/>
  <c r="C31" i="6"/>
  <c r="J31" i="6" s="1"/>
  <c r="D30" i="6"/>
  <c r="F30" i="6" s="1"/>
  <c r="G30" i="6" s="1"/>
  <c r="H30" i="6" s="1"/>
  <c r="C30" i="6"/>
  <c r="J30" i="6" s="1"/>
  <c r="D29" i="6"/>
  <c r="F29" i="6" s="1"/>
  <c r="G29" i="6" s="1"/>
  <c r="H29" i="6" s="1"/>
  <c r="C29" i="6"/>
  <c r="J29" i="6" s="1"/>
  <c r="F28" i="6"/>
  <c r="G28" i="6" s="1"/>
  <c r="H28" i="6" s="1"/>
  <c r="I28" i="6" s="1"/>
  <c r="L28" i="6" s="1"/>
  <c r="D28" i="6"/>
  <c r="C28" i="6"/>
  <c r="J28" i="6" s="1"/>
  <c r="J27" i="6"/>
  <c r="F27" i="6"/>
  <c r="G27" i="6" s="1"/>
  <c r="H27" i="6" s="1"/>
  <c r="D27" i="6"/>
  <c r="C27" i="6"/>
  <c r="F26" i="6"/>
  <c r="G26" i="6" s="1"/>
  <c r="H26" i="6" s="1"/>
  <c r="D26" i="6"/>
  <c r="C26" i="6"/>
  <c r="J26" i="6" s="1"/>
  <c r="K25" i="6"/>
  <c r="J25" i="6"/>
  <c r="D25" i="6"/>
  <c r="F25" i="6" s="1"/>
  <c r="G25" i="6" s="1"/>
  <c r="H25" i="6" s="1"/>
  <c r="I25" i="6" s="1"/>
  <c r="L25" i="6" s="1"/>
  <c r="C25" i="6"/>
  <c r="J24" i="6"/>
  <c r="F24" i="6"/>
  <c r="G24" i="6" s="1"/>
  <c r="H24" i="6" s="1"/>
  <c r="D24" i="6"/>
  <c r="C24" i="6"/>
  <c r="D23" i="6"/>
  <c r="F23" i="6" s="1"/>
  <c r="G23" i="6" s="1"/>
  <c r="H23" i="6" s="1"/>
  <c r="I23" i="6" s="1"/>
  <c r="L23" i="6" s="1"/>
  <c r="C23" i="6"/>
  <c r="J23" i="6" s="1"/>
  <c r="J22" i="6"/>
  <c r="D22" i="6"/>
  <c r="F22" i="6" s="1"/>
  <c r="G22" i="6" s="1"/>
  <c r="H22" i="6" s="1"/>
  <c r="K22" i="6" s="1"/>
  <c r="C22" i="6"/>
  <c r="D21" i="6"/>
  <c r="F21" i="6" s="1"/>
  <c r="G21" i="6" s="1"/>
  <c r="H21" i="6" s="1"/>
  <c r="C21" i="6"/>
  <c r="J21" i="6" s="1"/>
  <c r="J20" i="6"/>
  <c r="F20" i="6"/>
  <c r="G20" i="6" s="1"/>
  <c r="H20" i="6" s="1"/>
  <c r="D20" i="6"/>
  <c r="C20" i="6"/>
  <c r="J19" i="6"/>
  <c r="F19" i="6"/>
  <c r="G19" i="6" s="1"/>
  <c r="H19" i="6" s="1"/>
  <c r="D19" i="6"/>
  <c r="C19" i="6"/>
  <c r="F18" i="6"/>
  <c r="G18" i="6" s="1"/>
  <c r="H18" i="6" s="1"/>
  <c r="D18" i="6"/>
  <c r="C18" i="6"/>
  <c r="J18" i="6" s="1"/>
  <c r="J17" i="6"/>
  <c r="I17" i="6"/>
  <c r="L17" i="6" s="1"/>
  <c r="D17" i="6"/>
  <c r="F17" i="6" s="1"/>
  <c r="G17" i="6" s="1"/>
  <c r="H17" i="6" s="1"/>
  <c r="K17" i="6" s="1"/>
  <c r="C17" i="6"/>
  <c r="J37" i="5"/>
  <c r="D37" i="5"/>
  <c r="F37" i="5" s="1"/>
  <c r="G37" i="5" s="1"/>
  <c r="H37" i="5" s="1"/>
  <c r="I37" i="5" s="1"/>
  <c r="L37" i="5" s="1"/>
  <c r="C37" i="5"/>
  <c r="J36" i="5"/>
  <c r="F36" i="5"/>
  <c r="G36" i="5" s="1"/>
  <c r="H36" i="5" s="1"/>
  <c r="D36" i="5"/>
  <c r="C36" i="5"/>
  <c r="D35" i="5"/>
  <c r="F35" i="5" s="1"/>
  <c r="G35" i="5" s="1"/>
  <c r="H35" i="5" s="1"/>
  <c r="I35" i="5" s="1"/>
  <c r="L35" i="5" s="1"/>
  <c r="C35" i="5"/>
  <c r="J35" i="5" s="1"/>
  <c r="J34" i="5"/>
  <c r="H34" i="5"/>
  <c r="F34" i="5"/>
  <c r="G34" i="5" s="1"/>
  <c r="D34" i="5"/>
  <c r="C34" i="5"/>
  <c r="D33" i="5"/>
  <c r="F33" i="5" s="1"/>
  <c r="G33" i="5" s="1"/>
  <c r="H33" i="5" s="1"/>
  <c r="C33" i="5"/>
  <c r="J33" i="5" s="1"/>
  <c r="J32" i="5"/>
  <c r="F32" i="5"/>
  <c r="G32" i="5" s="1"/>
  <c r="H32" i="5" s="1"/>
  <c r="D32" i="5"/>
  <c r="C32" i="5"/>
  <c r="J31" i="5"/>
  <c r="D31" i="5"/>
  <c r="F31" i="5" s="1"/>
  <c r="G31" i="5" s="1"/>
  <c r="H31" i="5" s="1"/>
  <c r="C31" i="5"/>
  <c r="D30" i="5"/>
  <c r="F30" i="5" s="1"/>
  <c r="G30" i="5" s="1"/>
  <c r="H30" i="5" s="1"/>
  <c r="C30" i="5"/>
  <c r="J30" i="5" s="1"/>
  <c r="J29" i="5"/>
  <c r="D29" i="5"/>
  <c r="F29" i="5" s="1"/>
  <c r="G29" i="5" s="1"/>
  <c r="H29" i="5" s="1"/>
  <c r="C29" i="5"/>
  <c r="J28" i="5"/>
  <c r="F28" i="5"/>
  <c r="G28" i="5" s="1"/>
  <c r="H28" i="5" s="1"/>
  <c r="D28" i="5"/>
  <c r="C28" i="5"/>
  <c r="D27" i="5"/>
  <c r="F27" i="5" s="1"/>
  <c r="G27" i="5" s="1"/>
  <c r="H27" i="5" s="1"/>
  <c r="C27" i="5"/>
  <c r="J27" i="5" s="1"/>
  <c r="J26" i="5"/>
  <c r="F26" i="5"/>
  <c r="G26" i="5" s="1"/>
  <c r="H26" i="5" s="1"/>
  <c r="D26" i="5"/>
  <c r="C26" i="5"/>
  <c r="D25" i="5"/>
  <c r="F25" i="5" s="1"/>
  <c r="G25" i="5" s="1"/>
  <c r="H25" i="5" s="1"/>
  <c r="C25" i="5"/>
  <c r="J25" i="5" s="1"/>
  <c r="F24" i="5"/>
  <c r="G24" i="5" s="1"/>
  <c r="H24" i="5" s="1"/>
  <c r="I24" i="5" s="1"/>
  <c r="L24" i="5" s="1"/>
  <c r="D24" i="5"/>
  <c r="C24" i="5"/>
  <c r="J24" i="5" s="1"/>
  <c r="D23" i="5"/>
  <c r="F23" i="5" s="1"/>
  <c r="G23" i="5" s="1"/>
  <c r="H23" i="5" s="1"/>
  <c r="C23" i="5"/>
  <c r="J23" i="5" s="1"/>
  <c r="D22" i="5"/>
  <c r="F22" i="5" s="1"/>
  <c r="G22" i="5" s="1"/>
  <c r="H22" i="5" s="1"/>
  <c r="C22" i="5"/>
  <c r="J22" i="5" s="1"/>
  <c r="J21" i="5"/>
  <c r="D21" i="5"/>
  <c r="F21" i="5" s="1"/>
  <c r="G21" i="5" s="1"/>
  <c r="H21" i="5" s="1"/>
  <c r="K21" i="5" s="1"/>
  <c r="C21" i="5"/>
  <c r="J20" i="5"/>
  <c r="G20" i="5"/>
  <c r="H20" i="5" s="1"/>
  <c r="F20" i="5"/>
  <c r="D20" i="5"/>
  <c r="C20" i="5"/>
  <c r="G19" i="5"/>
  <c r="H19" i="5" s="1"/>
  <c r="I19" i="5" s="1"/>
  <c r="L19" i="5" s="1"/>
  <c r="D19" i="5"/>
  <c r="F19" i="5" s="1"/>
  <c r="C19" i="5"/>
  <c r="J19" i="5" s="1"/>
  <c r="F18" i="5"/>
  <c r="G18" i="5" s="1"/>
  <c r="H18" i="5" s="1"/>
  <c r="D18" i="5"/>
  <c r="C18" i="5"/>
  <c r="J18" i="5" s="1"/>
  <c r="F17" i="5"/>
  <c r="G17" i="5" s="1"/>
  <c r="H17" i="5" s="1"/>
  <c r="D17" i="5"/>
  <c r="C17" i="5"/>
  <c r="J17" i="5" s="1"/>
  <c r="F16" i="5"/>
  <c r="G16" i="5" s="1"/>
  <c r="H16" i="5" s="1"/>
  <c r="I16" i="5" s="1"/>
  <c r="L16" i="5" s="1"/>
  <c r="D16" i="5"/>
  <c r="C16" i="5"/>
  <c r="J16" i="5" s="1"/>
  <c r="F11" i="2"/>
  <c r="F10" i="2"/>
  <c r="F9" i="2"/>
  <c r="F12" i="2" s="1"/>
  <c r="F13" i="2" s="1"/>
  <c r="D114" i="1" s="1"/>
  <c r="D116" i="1" s="1"/>
  <c r="F8" i="2"/>
  <c r="F7" i="2"/>
  <c r="F6" i="2"/>
  <c r="D138" i="1"/>
  <c r="C124" i="1"/>
  <c r="C128" i="1" s="1"/>
  <c r="C89" i="1"/>
  <c r="C88" i="1"/>
  <c r="C87" i="1"/>
  <c r="C86" i="1"/>
  <c r="C85" i="1"/>
  <c r="C75" i="1"/>
  <c r="C73" i="1"/>
  <c r="C72" i="1"/>
  <c r="D72" i="1" s="1"/>
  <c r="C70" i="1"/>
  <c r="D55" i="1"/>
  <c r="D63" i="1" s="1"/>
  <c r="D50" i="1"/>
  <c r="C44" i="1"/>
  <c r="C74" i="1" s="1"/>
  <c r="D41" i="1"/>
  <c r="C29" i="1"/>
  <c r="D29" i="1" s="1"/>
  <c r="D28" i="1"/>
  <c r="D30" i="1" s="1"/>
  <c r="D40" i="1" s="1"/>
  <c r="C28" i="1"/>
  <c r="D20" i="1"/>
  <c r="D75" i="1" s="1"/>
  <c r="I34" i="8" l="1"/>
  <c r="L34" i="8" s="1"/>
  <c r="K34" i="8"/>
  <c r="M34" i="8" s="1"/>
  <c r="N34" i="8" s="1"/>
  <c r="O34" i="8" s="1"/>
  <c r="Q34" i="8" s="1"/>
  <c r="I28" i="8"/>
  <c r="L28" i="8" s="1"/>
  <c r="I29" i="8"/>
  <c r="L29" i="8" s="1"/>
  <c r="M29" i="8" s="1"/>
  <c r="I33" i="8"/>
  <c r="L33" i="8" s="1"/>
  <c r="M33" i="8" s="1"/>
  <c r="I22" i="7"/>
  <c r="L22" i="7" s="1"/>
  <c r="M22" i="7" s="1"/>
  <c r="N22" i="7" s="1"/>
  <c r="O22" i="7" s="1"/>
  <c r="Q22" i="7" s="1"/>
  <c r="I31" i="7"/>
  <c r="L31" i="7" s="1"/>
  <c r="M31" i="7" s="1"/>
  <c r="K17" i="7"/>
  <c r="M17" i="7" s="1"/>
  <c r="I27" i="6"/>
  <c r="L27" i="6" s="1"/>
  <c r="K27" i="6"/>
  <c r="M27" i="6" s="1"/>
  <c r="K41" i="6"/>
  <c r="K28" i="6"/>
  <c r="M28" i="6" s="1"/>
  <c r="K37" i="5"/>
  <c r="I21" i="5"/>
  <c r="L21" i="5" s="1"/>
  <c r="M21" i="5" s="1"/>
  <c r="D39" i="14"/>
  <c r="D42" i="14"/>
  <c r="D43" i="14"/>
  <c r="D38" i="14"/>
  <c r="D41" i="14"/>
  <c r="D71" i="14"/>
  <c r="D76" i="14" s="1"/>
  <c r="D136" i="14" s="1"/>
  <c r="D36" i="14"/>
  <c r="D37" i="14"/>
  <c r="D40" i="14"/>
  <c r="D71" i="13"/>
  <c r="D76" i="13"/>
  <c r="D136" i="13" s="1"/>
  <c r="D37" i="13"/>
  <c r="D43" i="13"/>
  <c r="D41" i="13"/>
  <c r="D39" i="13"/>
  <c r="D38" i="13"/>
  <c r="D40" i="13"/>
  <c r="D36" i="13"/>
  <c r="D42" i="13"/>
  <c r="M25" i="6"/>
  <c r="N25" i="6" s="1"/>
  <c r="O25" i="6" s="1"/>
  <c r="Q25" i="6" s="1"/>
  <c r="I32" i="9"/>
  <c r="L32" i="9" s="1"/>
  <c r="K32" i="9"/>
  <c r="M32" i="9" s="1"/>
  <c r="K27" i="9"/>
  <c r="I27" i="9"/>
  <c r="L27" i="9" s="1"/>
  <c r="I28" i="9"/>
  <c r="L28" i="9" s="1"/>
  <c r="K28" i="9"/>
  <c r="M28" i="9" s="1"/>
  <c r="K29" i="9"/>
  <c r="I29" i="9"/>
  <c r="L29" i="9" s="1"/>
  <c r="I34" i="9"/>
  <c r="L34" i="9" s="1"/>
  <c r="I30" i="9"/>
  <c r="L30" i="9" s="1"/>
  <c r="M30" i="9" s="1"/>
  <c r="N30" i="9" s="1"/>
  <c r="O30" i="9" s="1"/>
  <c r="Q30" i="9" s="1"/>
  <c r="I35" i="7"/>
  <c r="L35" i="7" s="1"/>
  <c r="K35" i="7"/>
  <c r="M35" i="7" s="1"/>
  <c r="K36" i="5"/>
  <c r="I36" i="5"/>
  <c r="L36" i="5" s="1"/>
  <c r="I31" i="5"/>
  <c r="L31" i="5" s="1"/>
  <c r="K31" i="5"/>
  <c r="M31" i="5" s="1"/>
  <c r="K25" i="5"/>
  <c r="I25" i="5"/>
  <c r="L25" i="5" s="1"/>
  <c r="K30" i="5"/>
  <c r="I30" i="5"/>
  <c r="L30" i="5" s="1"/>
  <c r="K33" i="5"/>
  <c r="I33" i="5"/>
  <c r="L33" i="5" s="1"/>
  <c r="M37" i="5"/>
  <c r="I27" i="8"/>
  <c r="L27" i="8" s="1"/>
  <c r="K27" i="8"/>
  <c r="M27" i="8" s="1"/>
  <c r="K18" i="5"/>
  <c r="I18" i="5"/>
  <c r="L18" i="5" s="1"/>
  <c r="I29" i="5"/>
  <c r="L29" i="5" s="1"/>
  <c r="K29" i="5"/>
  <c r="K18" i="6"/>
  <c r="I18" i="6"/>
  <c r="L18" i="6" s="1"/>
  <c r="K31" i="6"/>
  <c r="I31" i="6"/>
  <c r="L31" i="6" s="1"/>
  <c r="I23" i="8"/>
  <c r="L23" i="8" s="1"/>
  <c r="K23" i="8"/>
  <c r="I22" i="6"/>
  <c r="L22" i="6" s="1"/>
  <c r="M22" i="6" s="1"/>
  <c r="I36" i="9"/>
  <c r="L36" i="9" s="1"/>
  <c r="K36" i="9"/>
  <c r="I19" i="6"/>
  <c r="L19" i="6" s="1"/>
  <c r="K19" i="6"/>
  <c r="K35" i="5"/>
  <c r="M35" i="5" s="1"/>
  <c r="I20" i="6"/>
  <c r="L20" i="6" s="1"/>
  <c r="K20" i="6"/>
  <c r="K29" i="6"/>
  <c r="I29" i="6"/>
  <c r="L29" i="6" s="1"/>
  <c r="K17" i="5"/>
  <c r="I17" i="5"/>
  <c r="L17" i="5" s="1"/>
  <c r="K22" i="5"/>
  <c r="I22" i="5"/>
  <c r="L22" i="5" s="1"/>
  <c r="I32" i="5"/>
  <c r="L32" i="5" s="1"/>
  <c r="K32" i="5"/>
  <c r="K34" i="5"/>
  <c r="I34" i="5"/>
  <c r="L34" i="5" s="1"/>
  <c r="K26" i="6"/>
  <c r="I26" i="6"/>
  <c r="L26" i="6" s="1"/>
  <c r="K34" i="6"/>
  <c r="I34" i="6"/>
  <c r="L34" i="6" s="1"/>
  <c r="M41" i="6"/>
  <c r="K44" i="6"/>
  <c r="I44" i="6"/>
  <c r="L44" i="6" s="1"/>
  <c r="M44" i="6" s="1"/>
  <c r="K26" i="7"/>
  <c r="I26" i="7"/>
  <c r="L26" i="7" s="1"/>
  <c r="K24" i="7"/>
  <c r="I24" i="7"/>
  <c r="L24" i="7" s="1"/>
  <c r="K26" i="9"/>
  <c r="I26" i="9"/>
  <c r="L26" i="9" s="1"/>
  <c r="I27" i="5"/>
  <c r="L27" i="5" s="1"/>
  <c r="K27" i="5"/>
  <c r="M27" i="5" s="1"/>
  <c r="I38" i="6"/>
  <c r="L38" i="6" s="1"/>
  <c r="K38" i="6"/>
  <c r="M38" i="6" s="1"/>
  <c r="D42" i="1"/>
  <c r="D36" i="1"/>
  <c r="D43" i="1"/>
  <c r="D61" i="1"/>
  <c r="M17" i="6"/>
  <c r="K18" i="7"/>
  <c r="I18" i="7"/>
  <c r="L18" i="7" s="1"/>
  <c r="I23" i="9"/>
  <c r="L23" i="9" s="1"/>
  <c r="K23" i="9"/>
  <c r="I31" i="9"/>
  <c r="L31" i="9" s="1"/>
  <c r="K31" i="9"/>
  <c r="M31" i="9" s="1"/>
  <c r="K26" i="5"/>
  <c r="I26" i="5"/>
  <c r="L26" i="5" s="1"/>
  <c r="K21" i="6"/>
  <c r="I21" i="6"/>
  <c r="L21" i="6" s="1"/>
  <c r="K45" i="6"/>
  <c r="I45" i="6"/>
  <c r="L45" i="6" s="1"/>
  <c r="K20" i="5"/>
  <c r="I20" i="5"/>
  <c r="L20" i="5" s="1"/>
  <c r="M20" i="5" s="1"/>
  <c r="K24" i="6"/>
  <c r="I24" i="6"/>
  <c r="L24" i="6" s="1"/>
  <c r="M36" i="6"/>
  <c r="N16" i="7"/>
  <c r="N16" i="9"/>
  <c r="N16" i="6"/>
  <c r="N15" i="5"/>
  <c r="N17" i="8"/>
  <c r="I23" i="5"/>
  <c r="L23" i="5" s="1"/>
  <c r="K23" i="5"/>
  <c r="K28" i="5"/>
  <c r="I28" i="5"/>
  <c r="L28" i="5" s="1"/>
  <c r="M28" i="5" s="1"/>
  <c r="K30" i="6"/>
  <c r="I30" i="6"/>
  <c r="L30" i="6" s="1"/>
  <c r="K39" i="6"/>
  <c r="I39" i="6"/>
  <c r="L39" i="6" s="1"/>
  <c r="K23" i="7"/>
  <c r="I23" i="7"/>
  <c r="L23" i="7" s="1"/>
  <c r="M23" i="7" s="1"/>
  <c r="I41" i="7"/>
  <c r="L41" i="7" s="1"/>
  <c r="K41" i="7"/>
  <c r="M41" i="7" s="1"/>
  <c r="M34" i="5"/>
  <c r="I43" i="6"/>
  <c r="L43" i="6" s="1"/>
  <c r="M43" i="6" s="1"/>
  <c r="I20" i="7"/>
  <c r="L20" i="7" s="1"/>
  <c r="K20" i="7"/>
  <c r="M20" i="7" s="1"/>
  <c r="I28" i="7"/>
  <c r="L28" i="7" s="1"/>
  <c r="M28" i="7" s="1"/>
  <c r="K30" i="7"/>
  <c r="I30" i="7"/>
  <c r="L30" i="7" s="1"/>
  <c r="I39" i="7"/>
  <c r="L39" i="7" s="1"/>
  <c r="K39" i="7"/>
  <c r="I19" i="8"/>
  <c r="L19" i="8" s="1"/>
  <c r="K19" i="8"/>
  <c r="K21" i="8"/>
  <c r="I21" i="8"/>
  <c r="L21" i="8" s="1"/>
  <c r="K18" i="9"/>
  <c r="I18" i="9"/>
  <c r="L18" i="9" s="1"/>
  <c r="D73" i="1"/>
  <c r="D74" i="1" s="1"/>
  <c r="M32" i="6"/>
  <c r="I33" i="6"/>
  <c r="L33" i="6" s="1"/>
  <c r="M33" i="6" s="1"/>
  <c r="K42" i="6"/>
  <c r="M42" i="6" s="1"/>
  <c r="I42" i="6"/>
  <c r="L42" i="6" s="1"/>
  <c r="K27" i="7"/>
  <c r="I27" i="7"/>
  <c r="L27" i="7" s="1"/>
  <c r="I32" i="7"/>
  <c r="L32" i="7" s="1"/>
  <c r="K32" i="7"/>
  <c r="M32" i="7" s="1"/>
  <c r="I39" i="8"/>
  <c r="L39" i="8" s="1"/>
  <c r="K39" i="8"/>
  <c r="M39" i="8" s="1"/>
  <c r="I20" i="9"/>
  <c r="L20" i="9" s="1"/>
  <c r="K20" i="9"/>
  <c r="M20" i="9" s="1"/>
  <c r="I33" i="9"/>
  <c r="L33" i="9" s="1"/>
  <c r="M33" i="9" s="1"/>
  <c r="K33" i="9"/>
  <c r="K36" i="6"/>
  <c r="I36" i="6"/>
  <c r="L36" i="6" s="1"/>
  <c r="K32" i="8"/>
  <c r="M32" i="8" s="1"/>
  <c r="D37" i="1"/>
  <c r="D134" i="1"/>
  <c r="B6" i="3"/>
  <c r="K19" i="5"/>
  <c r="M19" i="5" s="1"/>
  <c r="I37" i="6"/>
  <c r="L37" i="6" s="1"/>
  <c r="M37" i="6" s="1"/>
  <c r="K19" i="7"/>
  <c r="I19" i="7"/>
  <c r="L19" i="7" s="1"/>
  <c r="I40" i="7"/>
  <c r="L40" i="7" s="1"/>
  <c r="K40" i="7"/>
  <c r="I22" i="8"/>
  <c r="L22" i="8" s="1"/>
  <c r="K22" i="8"/>
  <c r="M22" i="8" s="1"/>
  <c r="I25" i="9"/>
  <c r="L25" i="9" s="1"/>
  <c r="K25" i="9"/>
  <c r="I35" i="9"/>
  <c r="L35" i="9" s="1"/>
  <c r="M35" i="9" s="1"/>
  <c r="K24" i="5"/>
  <c r="M24" i="5" s="1"/>
  <c r="K32" i="6"/>
  <c r="I24" i="8"/>
  <c r="L24" i="8" s="1"/>
  <c r="K24" i="8"/>
  <c r="M24" i="8" s="1"/>
  <c r="D70" i="1"/>
  <c r="K40" i="6"/>
  <c r="I40" i="6"/>
  <c r="L40" i="6" s="1"/>
  <c r="I33" i="7"/>
  <c r="L33" i="7" s="1"/>
  <c r="K33" i="7"/>
  <c r="K38" i="7"/>
  <c r="I38" i="7"/>
  <c r="L38" i="7" s="1"/>
  <c r="I42" i="7"/>
  <c r="L42" i="7" s="1"/>
  <c r="M42" i="7" s="1"/>
  <c r="K26" i="8"/>
  <c r="I26" i="8"/>
  <c r="L26" i="8" s="1"/>
  <c r="I38" i="8"/>
  <c r="L38" i="8" s="1"/>
  <c r="K38" i="8"/>
  <c r="I17" i="9"/>
  <c r="L17" i="9" s="1"/>
  <c r="K17" i="9"/>
  <c r="K25" i="8"/>
  <c r="I25" i="8"/>
  <c r="L25" i="8" s="1"/>
  <c r="I46" i="6"/>
  <c r="L46" i="6" s="1"/>
  <c r="K46" i="6"/>
  <c r="D38" i="1"/>
  <c r="D39" i="1"/>
  <c r="K16" i="5"/>
  <c r="M16" i="5" s="1"/>
  <c r="K23" i="6"/>
  <c r="M23" i="6" s="1"/>
  <c r="K35" i="6"/>
  <c r="I35" i="6"/>
  <c r="L35" i="6" s="1"/>
  <c r="K21" i="7"/>
  <c r="I21" i="7"/>
  <c r="L21" i="7" s="1"/>
  <c r="K21" i="9"/>
  <c r="I21" i="9"/>
  <c r="L21" i="9" s="1"/>
  <c r="M34" i="9"/>
  <c r="K18" i="8"/>
  <c r="I18" i="8"/>
  <c r="L18" i="8" s="1"/>
  <c r="M18" i="8" s="1"/>
  <c r="I30" i="8"/>
  <c r="L30" i="8" s="1"/>
  <c r="K30" i="8"/>
  <c r="M30" i="8" s="1"/>
  <c r="K25" i="7"/>
  <c r="M25" i="7" s="1"/>
  <c r="M19" i="8"/>
  <c r="K20" i="8"/>
  <c r="I20" i="8"/>
  <c r="L20" i="8" s="1"/>
  <c r="K31" i="8"/>
  <c r="M31" i="8" s="1"/>
  <c r="K22" i="9"/>
  <c r="I22" i="9"/>
  <c r="L22" i="9" s="1"/>
  <c r="I43" i="7"/>
  <c r="L43" i="7" s="1"/>
  <c r="M43" i="7" s="1"/>
  <c r="I40" i="8"/>
  <c r="L40" i="8" s="1"/>
  <c r="K40" i="8"/>
  <c r="K29" i="7"/>
  <c r="I29" i="7"/>
  <c r="L29" i="7" s="1"/>
  <c r="K34" i="7"/>
  <c r="I34" i="7"/>
  <c r="L34" i="7" s="1"/>
  <c r="K37" i="8"/>
  <c r="I37" i="8"/>
  <c r="L37" i="8" s="1"/>
  <c r="K19" i="9"/>
  <c r="I19" i="9"/>
  <c r="L19" i="9" s="1"/>
  <c r="M19" i="9" s="1"/>
  <c r="I24" i="9"/>
  <c r="L24" i="9" s="1"/>
  <c r="K24" i="9"/>
  <c r="M28" i="8"/>
  <c r="M36" i="9"/>
  <c r="K36" i="7"/>
  <c r="M36" i="7" s="1"/>
  <c r="I37" i="7"/>
  <c r="L37" i="7" s="1"/>
  <c r="M37" i="7" s="1"/>
  <c r="K35" i="8"/>
  <c r="M35" i="8" s="1"/>
  <c r="I36" i="8"/>
  <c r="L36" i="8" s="1"/>
  <c r="M36" i="8" s="1"/>
  <c r="M27" i="9"/>
  <c r="M29" i="9" l="1"/>
  <c r="N33" i="8"/>
  <c r="O33" i="8" s="1"/>
  <c r="Q33" i="8" s="1"/>
  <c r="M20" i="8"/>
  <c r="M33" i="7"/>
  <c r="M18" i="7"/>
  <c r="N27" i="6"/>
  <c r="O27" i="6"/>
  <c r="Q27" i="6" s="1"/>
  <c r="M34" i="6"/>
  <c r="M29" i="6"/>
  <c r="N29" i="6" s="1"/>
  <c r="O29" i="6" s="1"/>
  <c r="Q29" i="6" s="1"/>
  <c r="M20" i="6"/>
  <c r="N20" i="6" s="1"/>
  <c r="O20" i="6" s="1"/>
  <c r="Q20" i="6" s="1"/>
  <c r="M29" i="5"/>
  <c r="M18" i="5"/>
  <c r="M26" i="8"/>
  <c r="M30" i="6"/>
  <c r="N30" i="6" s="1"/>
  <c r="O30" i="6" s="1"/>
  <c r="Q30" i="6" s="1"/>
  <c r="M45" i="6"/>
  <c r="N45" i="6" s="1"/>
  <c r="O45" i="6" s="1"/>
  <c r="Q45" i="6" s="1"/>
  <c r="M26" i="6"/>
  <c r="N26" i="6" s="1"/>
  <c r="O26" i="6" s="1"/>
  <c r="Q26" i="6" s="1"/>
  <c r="M31" i="6"/>
  <c r="M21" i="7"/>
  <c r="N21" i="7" s="1"/>
  <c r="O21" i="7" s="1"/>
  <c r="Q21" i="7" s="1"/>
  <c r="M40" i="6"/>
  <c r="N40" i="6" s="1"/>
  <c r="O40" i="6" s="1"/>
  <c r="Q40" i="6" s="1"/>
  <c r="M24" i="6"/>
  <c r="N24" i="6" s="1"/>
  <c r="O24" i="6" s="1"/>
  <c r="Q24" i="6" s="1"/>
  <c r="M40" i="8"/>
  <c r="N40" i="8" s="1"/>
  <c r="O40" i="8" s="1"/>
  <c r="Q40" i="8" s="1"/>
  <c r="M46" i="6"/>
  <c r="N46" i="6" s="1"/>
  <c r="O46" i="6" s="1"/>
  <c r="Q46" i="6" s="1"/>
  <c r="M38" i="8"/>
  <c r="N38" i="8" s="1"/>
  <c r="O38" i="8" s="1"/>
  <c r="Q38" i="8" s="1"/>
  <c r="M40" i="7"/>
  <c r="M18" i="9"/>
  <c r="N17" i="7"/>
  <c r="O17" i="7" s="1"/>
  <c r="Q17" i="7" s="1"/>
  <c r="M19" i="6"/>
  <c r="M23" i="8"/>
  <c r="M21" i="8"/>
  <c r="M17" i="5"/>
  <c r="M36" i="5"/>
  <c r="N36" i="5" s="1"/>
  <c r="O36" i="5" s="1"/>
  <c r="Q36" i="5" s="1"/>
  <c r="M26" i="5"/>
  <c r="M22" i="5"/>
  <c r="N22" i="5" s="1"/>
  <c r="O22" i="5" s="1"/>
  <c r="Q22" i="5" s="1"/>
  <c r="M32" i="5"/>
  <c r="N32" i="5" s="1"/>
  <c r="O32" i="5" s="1"/>
  <c r="Q32" i="5" s="1"/>
  <c r="M23" i="5"/>
  <c r="N23" i="5" s="1"/>
  <c r="O23" i="5" s="1"/>
  <c r="Q23" i="5" s="1"/>
  <c r="D44" i="14"/>
  <c r="D62" i="14" s="1"/>
  <c r="D64" i="14" s="1"/>
  <c r="D44" i="13"/>
  <c r="D62" i="13" s="1"/>
  <c r="D64" i="13" s="1"/>
  <c r="M24" i="9"/>
  <c r="N24" i="9" s="1"/>
  <c r="O24" i="9" s="1"/>
  <c r="Q24" i="9" s="1"/>
  <c r="M21" i="9"/>
  <c r="N21" i="9" s="1"/>
  <c r="O21" i="9" s="1"/>
  <c r="Q21" i="9" s="1"/>
  <c r="M22" i="9"/>
  <c r="N22" i="9" s="1"/>
  <c r="O22" i="9" s="1"/>
  <c r="Q22" i="9" s="1"/>
  <c r="M25" i="9"/>
  <c r="N25" i="9" s="1"/>
  <c r="O25" i="9" s="1"/>
  <c r="Q25" i="9" s="1"/>
  <c r="N28" i="9"/>
  <c r="O28" i="9" s="1"/>
  <c r="Q28" i="9" s="1"/>
  <c r="M29" i="7"/>
  <c r="N29" i="7" s="1"/>
  <c r="O29" i="7" s="1"/>
  <c r="Q29" i="7" s="1"/>
  <c r="M30" i="7"/>
  <c r="M26" i="7"/>
  <c r="N26" i="7" s="1"/>
  <c r="O26" i="7" s="1"/>
  <c r="Q26" i="7" s="1"/>
  <c r="M34" i="7"/>
  <c r="N34" i="7" s="1"/>
  <c r="O34" i="7" s="1"/>
  <c r="Q34" i="7" s="1"/>
  <c r="M19" i="7"/>
  <c r="N19" i="7" s="1"/>
  <c r="O19" i="7" s="1"/>
  <c r="Q19" i="7" s="1"/>
  <c r="M39" i="7"/>
  <c r="N31" i="8"/>
  <c r="O31" i="8" s="1"/>
  <c r="Q31" i="8" s="1"/>
  <c r="N30" i="8"/>
  <c r="O30" i="8"/>
  <c r="Q30" i="8" s="1"/>
  <c r="N37" i="6"/>
  <c r="O37" i="6" s="1"/>
  <c r="Q37" i="6" s="1"/>
  <c r="N42" i="6"/>
  <c r="O42" i="6" s="1"/>
  <c r="Q42" i="6" s="1"/>
  <c r="N21" i="8"/>
  <c r="O21" i="8" s="1"/>
  <c r="Q21" i="8" s="1"/>
  <c r="N20" i="7"/>
  <c r="O20" i="7"/>
  <c r="Q20" i="7" s="1"/>
  <c r="N34" i="6"/>
  <c r="O34" i="6" s="1"/>
  <c r="Q34" i="6" s="1"/>
  <c r="N19" i="9"/>
  <c r="O19" i="9" s="1"/>
  <c r="Q19" i="9" s="1"/>
  <c r="N19" i="5"/>
  <c r="O19" i="5"/>
  <c r="Q19" i="5" s="1"/>
  <c r="N33" i="6"/>
  <c r="O33" i="6" s="1"/>
  <c r="Q33" i="6" s="1"/>
  <c r="N19" i="6"/>
  <c r="O19" i="6" s="1"/>
  <c r="Q19" i="6" s="1"/>
  <c r="N20" i="8"/>
  <c r="O20" i="8" s="1"/>
  <c r="Q20" i="8" s="1"/>
  <c r="N31" i="6"/>
  <c r="O31" i="6" s="1"/>
  <c r="Q31" i="6" s="1"/>
  <c r="N37" i="7"/>
  <c r="O37" i="7" s="1"/>
  <c r="Q37" i="7" s="1"/>
  <c r="N32" i="8"/>
  <c r="O32" i="8" s="1"/>
  <c r="Q32" i="8" s="1"/>
  <c r="N24" i="5"/>
  <c r="O24" i="5" s="1"/>
  <c r="Q24" i="5" s="1"/>
  <c r="N38" i="6"/>
  <c r="O38" i="6" s="1"/>
  <c r="Q38" i="6" s="1"/>
  <c r="N18" i="5"/>
  <c r="O18" i="5" s="1"/>
  <c r="Q18" i="5" s="1"/>
  <c r="N27" i="8"/>
  <c r="O27" i="8" s="1"/>
  <c r="Q27" i="8" s="1"/>
  <c r="N41" i="7"/>
  <c r="O41" i="7" s="1"/>
  <c r="Q41" i="7" s="1"/>
  <c r="N36" i="7"/>
  <c r="O36" i="7" s="1"/>
  <c r="Q36" i="7" s="1"/>
  <c r="N25" i="7"/>
  <c r="O25" i="7" s="1"/>
  <c r="Q25" i="7" s="1"/>
  <c r="N24" i="8"/>
  <c r="O24" i="8" s="1"/>
  <c r="Q24" i="8" s="1"/>
  <c r="N18" i="9"/>
  <c r="O18" i="9" s="1"/>
  <c r="Q18" i="9" s="1"/>
  <c r="N26" i="8"/>
  <c r="O26" i="8" s="1"/>
  <c r="Q26" i="8" s="1"/>
  <c r="N43" i="6"/>
  <c r="O43" i="6" s="1"/>
  <c r="Q43" i="6" s="1"/>
  <c r="N29" i="5"/>
  <c r="O29" i="5" s="1"/>
  <c r="Q29" i="5" s="1"/>
  <c r="N29" i="9"/>
  <c r="O29" i="9" s="1"/>
  <c r="Q29" i="9" s="1"/>
  <c r="N17" i="6"/>
  <c r="O17" i="6" s="1"/>
  <c r="Q17" i="6" s="1"/>
  <c r="N23" i="6"/>
  <c r="O23" i="6" s="1"/>
  <c r="Q23" i="6" s="1"/>
  <c r="N22" i="8"/>
  <c r="O22" i="8" s="1"/>
  <c r="Q22" i="8" s="1"/>
  <c r="N18" i="8"/>
  <c r="O18" i="8" s="1"/>
  <c r="Q18" i="8" s="1"/>
  <c r="M21" i="6"/>
  <c r="N35" i="8"/>
  <c r="O35" i="8" s="1"/>
  <c r="Q35" i="8" s="1"/>
  <c r="N28" i="8"/>
  <c r="O28" i="8" s="1"/>
  <c r="Q28" i="8" s="1"/>
  <c r="N22" i="6"/>
  <c r="O22" i="6" s="1"/>
  <c r="Q22" i="6" s="1"/>
  <c r="N42" i="7"/>
  <c r="O42" i="7" s="1"/>
  <c r="Q42" i="7" s="1"/>
  <c r="N31" i="5"/>
  <c r="O31" i="5" s="1"/>
  <c r="Q31" i="5" s="1"/>
  <c r="N28" i="5"/>
  <c r="O28" i="5" s="1"/>
  <c r="Q28" i="5" s="1"/>
  <c r="M18" i="6"/>
  <c r="N28" i="7"/>
  <c r="O28" i="7" s="1"/>
  <c r="Q28" i="7" s="1"/>
  <c r="N21" i="5"/>
  <c r="O21" i="5" s="1"/>
  <c r="Q21" i="5" s="1"/>
  <c r="N33" i="9"/>
  <c r="O33" i="9" s="1"/>
  <c r="Q33" i="9" s="1"/>
  <c r="N43" i="7"/>
  <c r="O43" i="7" s="1"/>
  <c r="Q43" i="7" s="1"/>
  <c r="N36" i="9"/>
  <c r="O36" i="9" s="1"/>
  <c r="Q36" i="9" s="1"/>
  <c r="N32" i="7"/>
  <c r="O32" i="7" s="1"/>
  <c r="Q32" i="7" s="1"/>
  <c r="N16" i="5"/>
  <c r="O16" i="5" s="1"/>
  <c r="Q16" i="5" s="1"/>
  <c r="M25" i="8"/>
  <c r="F6" i="3"/>
  <c r="H6" i="3" s="1"/>
  <c r="H7" i="3" s="1"/>
  <c r="E6" i="3"/>
  <c r="G6" i="3" s="1"/>
  <c r="G7" i="3" s="1"/>
  <c r="M37" i="8"/>
  <c r="N19" i="8"/>
  <c r="O19" i="8" s="1"/>
  <c r="Q19" i="8" s="1"/>
  <c r="N31" i="9"/>
  <c r="O31" i="9" s="1"/>
  <c r="Q31" i="9" s="1"/>
  <c r="N44" i="6"/>
  <c r="O44" i="6" s="1"/>
  <c r="Q44" i="6" s="1"/>
  <c r="D44" i="1"/>
  <c r="D62" i="1" s="1"/>
  <c r="D64" i="1" s="1"/>
  <c r="M26" i="9"/>
  <c r="N35" i="5"/>
  <c r="O35" i="5" s="1"/>
  <c r="Q35" i="5" s="1"/>
  <c r="N34" i="9"/>
  <c r="O34" i="9" s="1"/>
  <c r="Q34" i="9" s="1"/>
  <c r="N33" i="7"/>
  <c r="O33" i="7" s="1"/>
  <c r="Q33" i="7" s="1"/>
  <c r="N40" i="7"/>
  <c r="O40" i="7" s="1"/>
  <c r="Q40" i="7" s="1"/>
  <c r="M35" i="6"/>
  <c r="M30" i="5"/>
  <c r="M39" i="6"/>
  <c r="N35" i="9"/>
  <c r="O35" i="9" s="1"/>
  <c r="Q35" i="9" s="1"/>
  <c r="N26" i="5"/>
  <c r="O26" i="5" s="1"/>
  <c r="Q26" i="5" s="1"/>
  <c r="N32" i="6"/>
  <c r="O32" i="6" s="1"/>
  <c r="Q32" i="6" s="1"/>
  <c r="M25" i="5"/>
  <c r="N23" i="7"/>
  <c r="O23" i="7" s="1"/>
  <c r="Q23" i="7" s="1"/>
  <c r="N39" i="8"/>
  <c r="O39" i="8" s="1"/>
  <c r="Q39" i="8" s="1"/>
  <c r="M27" i="7"/>
  <c r="D71" i="1"/>
  <c r="D76" i="1"/>
  <c r="D136" i="1" s="1"/>
  <c r="N34" i="5"/>
  <c r="O34" i="5" s="1"/>
  <c r="Q34" i="5" s="1"/>
  <c r="N36" i="6"/>
  <c r="O36" i="6" s="1"/>
  <c r="Q36" i="6" s="1"/>
  <c r="N17" i="5"/>
  <c r="O17" i="5" s="1"/>
  <c r="Q17" i="5" s="1"/>
  <c r="N32" i="9"/>
  <c r="O32" i="9"/>
  <c r="Q32" i="9" s="1"/>
  <c r="N36" i="8"/>
  <c r="O36" i="8" s="1"/>
  <c r="Q36" i="8" s="1"/>
  <c r="N18" i="7"/>
  <c r="O18" i="7" s="1"/>
  <c r="Q18" i="7" s="1"/>
  <c r="N27" i="5"/>
  <c r="O27" i="5"/>
  <c r="Q27" i="5" s="1"/>
  <c r="N20" i="9"/>
  <c r="O20" i="9" s="1"/>
  <c r="Q20" i="9" s="1"/>
  <c r="N27" i="9"/>
  <c r="O27" i="9" s="1"/>
  <c r="Q27" i="9" s="1"/>
  <c r="N37" i="5"/>
  <c r="O37" i="5" s="1"/>
  <c r="Q37" i="5" s="1"/>
  <c r="N29" i="8"/>
  <c r="O29" i="8" s="1"/>
  <c r="Q29" i="8" s="1"/>
  <c r="N31" i="7"/>
  <c r="O31" i="7" s="1"/>
  <c r="Q31" i="7" s="1"/>
  <c r="N35" i="7"/>
  <c r="O35" i="7" s="1"/>
  <c r="Q35" i="7" s="1"/>
  <c r="M17" i="9"/>
  <c r="M38" i="7"/>
  <c r="N20" i="5"/>
  <c r="O20" i="5" s="1"/>
  <c r="Q20" i="5" s="1"/>
  <c r="M23" i="9"/>
  <c r="N28" i="6"/>
  <c r="O28" i="6" s="1"/>
  <c r="Q28" i="6" s="1"/>
  <c r="M24" i="7"/>
  <c r="N41" i="6"/>
  <c r="O41" i="6"/>
  <c r="Q41" i="6" s="1"/>
  <c r="M33" i="5"/>
  <c r="N23" i="8" l="1"/>
  <c r="O23" i="8" s="1"/>
  <c r="Q23" i="8" s="1"/>
  <c r="D135" i="14"/>
  <c r="D87" i="14"/>
  <c r="D90" i="14"/>
  <c r="D97" i="14"/>
  <c r="D98" i="14" s="1"/>
  <c r="D105" i="14" s="1"/>
  <c r="D85" i="14"/>
  <c r="D86" i="14"/>
  <c r="D88" i="14"/>
  <c r="D89" i="14"/>
  <c r="D135" i="13"/>
  <c r="D87" i="13"/>
  <c r="D86" i="13"/>
  <c r="D88" i="13"/>
  <c r="D90" i="13"/>
  <c r="D85" i="13"/>
  <c r="D89" i="13"/>
  <c r="D97" i="13"/>
  <c r="D98" i="13" s="1"/>
  <c r="D105" i="13" s="1"/>
  <c r="N39" i="7"/>
  <c r="O39" i="7" s="1"/>
  <c r="Q39" i="7" s="1"/>
  <c r="N30" i="7"/>
  <c r="O30" i="7" s="1"/>
  <c r="Q30" i="7" s="1"/>
  <c r="N39" i="6"/>
  <c r="O39" i="6" s="1"/>
  <c r="Q39" i="6" s="1"/>
  <c r="D85" i="1"/>
  <c r="D135" i="1"/>
  <c r="D86" i="1"/>
  <c r="D89" i="1"/>
  <c r="D88" i="1"/>
  <c r="D90" i="1"/>
  <c r="D97" i="1"/>
  <c r="D98" i="1" s="1"/>
  <c r="D105" i="1" s="1"/>
  <c r="D87" i="1"/>
  <c r="N23" i="9"/>
  <c r="O23" i="9" s="1"/>
  <c r="Q23" i="9" s="1"/>
  <c r="N25" i="5"/>
  <c r="O25" i="5" s="1"/>
  <c r="Q25" i="5" s="1"/>
  <c r="N30" i="5"/>
  <c r="O30" i="5" s="1"/>
  <c r="Q30" i="5" s="1"/>
  <c r="G9" i="3"/>
  <c r="G24" i="4" s="1"/>
  <c r="N17" i="9"/>
  <c r="O17" i="9" s="1"/>
  <c r="Q17" i="9" s="1"/>
  <c r="N26" i="9"/>
  <c r="O26" i="9" s="1"/>
  <c r="Q26" i="9" s="1"/>
  <c r="N27" i="7"/>
  <c r="O27" i="7" s="1"/>
  <c r="Q27" i="7" s="1"/>
  <c r="N35" i="6"/>
  <c r="O35" i="6" s="1"/>
  <c r="Q35" i="6" s="1"/>
  <c r="N21" i="6"/>
  <c r="O21" i="6" s="1"/>
  <c r="Q21" i="6" s="1"/>
  <c r="N33" i="5"/>
  <c r="O33" i="5" s="1"/>
  <c r="Q33" i="5" s="1"/>
  <c r="N25" i="8"/>
  <c r="O25" i="8" s="1"/>
  <c r="Q25" i="8" s="1"/>
  <c r="N18" i="6"/>
  <c r="O18" i="6" s="1"/>
  <c r="Q18" i="6" s="1"/>
  <c r="N38" i="7"/>
  <c r="O38" i="7" s="1"/>
  <c r="Q38" i="7" s="1"/>
  <c r="N24" i="7"/>
  <c r="O24" i="7" s="1"/>
  <c r="Q24" i="7" s="1"/>
  <c r="N37" i="8"/>
  <c r="O37" i="8" s="1"/>
  <c r="Q37" i="8" s="1"/>
  <c r="D91" i="14" l="1"/>
  <c r="D104" i="14" s="1"/>
  <c r="D106" i="14" s="1"/>
  <c r="D137" i="14" s="1"/>
  <c r="D139" i="14" s="1"/>
  <c r="D91" i="13"/>
  <c r="D104" i="13" s="1"/>
  <c r="D106" i="13" s="1"/>
  <c r="D137" i="13" s="1"/>
  <c r="D139" i="13" s="1"/>
  <c r="Q47" i="6"/>
  <c r="Q48" i="6" s="1"/>
  <c r="B6" i="10" s="1"/>
  <c r="Q44" i="7"/>
  <c r="Q45" i="7" s="1"/>
  <c r="B7" i="10" s="1"/>
  <c r="D91" i="1"/>
  <c r="D104" i="1" s="1"/>
  <c r="D106" i="1" s="1"/>
  <c r="D137" i="1" s="1"/>
  <c r="D139" i="1" s="1"/>
  <c r="Q38" i="5"/>
  <c r="Q39" i="5" s="1"/>
  <c r="B5" i="10" s="1"/>
  <c r="Q41" i="8"/>
  <c r="Q42" i="8" s="1"/>
  <c r="B8" i="10" s="1"/>
  <c r="Q37" i="9"/>
  <c r="Q38" i="9" s="1"/>
  <c r="B9" i="10" s="1"/>
  <c r="D122" i="14" l="1"/>
  <c r="D122" i="13"/>
  <c r="D123" i="13" s="1"/>
  <c r="D124" i="13" s="1"/>
  <c r="D122" i="1"/>
  <c r="D123" i="1" s="1"/>
  <c r="B10" i="10"/>
  <c r="B11" i="10" s="1"/>
  <c r="D123" i="14" l="1"/>
  <c r="D124" i="14" s="1"/>
  <c r="D128" i="13"/>
  <c r="D140" i="13" s="1"/>
  <c r="D141" i="13" s="1"/>
  <c r="D22" i="4" s="1"/>
  <c r="F22" i="4" s="1"/>
  <c r="G22" i="4" s="1"/>
  <c r="C4" i="11"/>
  <c r="C6" i="11"/>
  <c r="D23" i="4"/>
  <c r="G23" i="4" s="1"/>
  <c r="C5" i="11"/>
  <c r="C7" i="11"/>
  <c r="D124" i="1"/>
  <c r="D128" i="1" s="1"/>
  <c r="D140" i="1" s="1"/>
  <c r="D141" i="1" s="1"/>
  <c r="D128" i="14" l="1"/>
  <c r="D140" i="14" s="1"/>
  <c r="D141" i="14" s="1"/>
  <c r="D21" i="4" s="1"/>
  <c r="F21" i="4" s="1"/>
  <c r="G21" i="4" s="1"/>
  <c r="D125" i="13"/>
  <c r="D127" i="13"/>
  <c r="D126" i="13"/>
  <c r="D20" i="4"/>
  <c r="F20" i="4" s="1"/>
  <c r="D127" i="1"/>
  <c r="D126" i="1"/>
  <c r="D125" i="1"/>
  <c r="D126" i="14" l="1"/>
  <c r="D125" i="14"/>
  <c r="D127" i="14"/>
  <c r="F25" i="4"/>
  <c r="G20" i="4"/>
  <c r="G25" i="4" s="1"/>
  <c r="G28" i="4" s="1"/>
</calcChain>
</file>

<file path=xl/sharedStrings.xml><?xml version="1.0" encoding="utf-8"?>
<sst xmlns="http://schemas.openxmlformats.org/spreadsheetml/2006/main" count="811" uniqueCount="212">
  <si>
    <t>PLANILHA DE CUSTOS E FORMAÇÃO DE PREÇOS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</si>
  <si>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</si>
  <si>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</si>
  <si>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</si>
  <si>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</si>
  <si>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</si>
  <si>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</si>
  <si>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</si>
  <si>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</si>
  <si>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</si>
  <si>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</si>
  <si>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</si>
  <si>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</si>
  <si>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</si>
  <si>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</si>
  <si>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</si>
  <si>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</si>
  <si>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</si>
  <si>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</si>
  <si>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</si>
  <si>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</si>
  <si>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</si>
  <si>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</si>
  <si>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</si>
  <si>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</si>
  <si>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</si>
  <si>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</si>
  <si>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</si>
  <si>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</si>
  <si>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</si>
  <si>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</si>
  <si>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</si>
  <si>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</si>
  <si>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</si>
  <si>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</si>
  <si>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</si>
  <si>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</si>
  <si>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</si>
  <si>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</si>
  <si>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</si>
  <si>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</si>
  <si>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</si>
  <si>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</si>
  <si>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</si>
  <si>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</si>
  <si>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</si>
  <si>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</si>
  <si>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</si>
  <si>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Seguro de Vida</t>
  </si>
  <si>
    <t>Seguro Saúde</t>
  </si>
  <si>
    <t>Curso de Capacitação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</si>
  <si>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</si>
  <si>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</si>
  <si>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</si>
  <si>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</si>
  <si>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</si>
  <si>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</si>
  <si>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</si>
  <si>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</si>
  <si>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</si>
  <si>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</si>
  <si>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</si>
  <si>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</si>
  <si>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</si>
  <si>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</si>
  <si>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</si>
  <si>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</si>
  <si>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</si>
  <si>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</si>
  <si>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</si>
  <si>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Afastamento por Doença</t>
  </si>
  <si>
    <t>Submódulo 4.2 - Substituto na Intrajornada</t>
  </si>
  <si>
    <t>4.2</t>
  </si>
  <si>
    <t>Substituto na Intrajornada</t>
  </si>
  <si>
    <t>Substituto na cobertura de 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</si>
  <si>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</si>
  <si>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</si>
  <si>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</si>
  <si>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</si>
  <si>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</si>
  <si>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Equipamentos de Proteção Individual</t>
  </si>
  <si>
    <t>Emissão de ART/RRT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</si>
  <si>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</si>
  <si>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</si>
  <si>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</si>
  <si>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</si>
  <si>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</si>
  <si>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</si>
  <si>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</si>
  <si>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</si>
  <si>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</si>
  <si>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</si>
  <si>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</si>
  <si>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</si>
  <si>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</si>
  <si>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EQUIPAMENTOS DE PROTEÇÃO INDIVIDUAL</t>
  </si>
  <si>
    <t>Nº ITEM</t>
  </si>
  <si>
    <t>DESCRIÇÃO</t>
  </si>
  <si>
    <t>UNID.</t>
  </si>
  <si>
    <t>QTDE POR EMPREGADO</t>
  </si>
  <si>
    <t>CÓDIGO SINAPI</t>
  </si>
  <si>
    <t>VALOR</t>
  </si>
  <si>
    <t>LUVA RASPA DE COURO, CANO CURTO (PUNHO *7* CM)</t>
  </si>
  <si>
    <t>PAR</t>
  </si>
  <si>
    <t>CAPA PARA CHUVA EM PVC COM FORRO DE POLIESTER, COM CAPUZ (AMARELA OU AZUL)</t>
  </si>
  <si>
    <t>CAPACETE DE SEGURANCA ABA FRONTAL COM SUSPENSAO DE POLIETILENO, SEM JUGULAR (CLASSE B)</t>
  </si>
  <si>
    <t>PROTETOR AUDITIVO TIPO PLUG DE INSERCAO COM CORDAO, ATENUACAO SUPERIOR A 15 DB</t>
  </si>
  <si>
    <t>CINTURAO DE SEGURANCA TIPO PARAQUEDISTA, FIVELA EM ACO, AJUSTE NO SUSPENSARIO, CINTURA E PERNAS</t>
  </si>
  <si>
    <t>OCULOS DE SEGURANCA CONTRA IMPACTOS COM LENTE INCOLOR, ARMACAO NYLON, COM PROTECAO UVA E UVB</t>
  </si>
  <si>
    <t>VALOR TOTAL POR EMPREGADO</t>
  </si>
  <si>
    <r>
      <rPr>
        <sz val="10"/>
        <color rgb="FF000000"/>
        <rFont val="Times New Roman"/>
        <family val="1"/>
        <charset val="1"/>
      </rPr>
      <t> </t>
    </r>
    <r>
      <rPr>
        <b/>
        <sz val="10"/>
        <color rgb="FF000000"/>
        <rFont val="Times New Roman"/>
        <family val="1"/>
        <charset val="1"/>
      </rPr>
      <t>TOTAL  MENSAL POR EMPREGADO</t>
    </r>
  </si>
  <si>
    <t>POSTO</t>
  </si>
  <si>
    <t>REMUNERAÇÃO</t>
  </si>
  <si>
    <t>QTD.</t>
  </si>
  <si>
    <t>VALOR UNTÁRIO</t>
  </si>
  <si>
    <t>VALOR TOTAL</t>
  </si>
  <si>
    <t>Dias úteis e sábados</t>
  </si>
  <si>
    <t>Domingos e feriados</t>
  </si>
  <si>
    <t>ENGENHEIRO/ARQUITETO</t>
  </si>
  <si>
    <t>TOTAL MENSAL</t>
  </si>
  <si>
    <t>TOTAL  CONTRATADO</t>
  </si>
  <si>
    <t>VALOR TOTAL DO CONTRATO</t>
  </si>
  <si>
    <t>ESTIMATIVA DE VALOR DE DESLOCAMENTO PARA 01 PROFISSIONAL</t>
  </si>
  <si>
    <t>VIAGEM PARA 01 MUNICÍPIO</t>
  </si>
  <si>
    <t>PARÂMETROS</t>
  </si>
  <si>
    <t>Velocidade média da viagem em Km/hora</t>
  </si>
  <si>
    <t>Média de horas para vistoria por imóvel</t>
  </si>
  <si>
    <t>Valor da diária de locação de veículo em R$</t>
  </si>
  <si>
    <t xml:space="preserve">Distância percorrida dentro do município </t>
  </si>
  <si>
    <t>20Km</t>
  </si>
  <si>
    <t>Valor do litro da gasolina em R$</t>
  </si>
  <si>
    <t>Consumo de combustível (Km/litro)</t>
  </si>
  <si>
    <t>Valor da diária (pernoite+alimentação)</t>
  </si>
  <si>
    <t xml:space="preserve">DISTÂNCIA TOTAL PERCORRIDA (IDA E VOLTA) ATÉ (Km) _ </t>
  </si>
  <si>
    <t>MÉDIA DISTÂNCIA PERCORRIDA DENTRO DO MUNICÍPIO(km)</t>
  </si>
  <si>
    <t>CONSUMO DE COMBUSTÍVEL (10 km/ litro)</t>
  </si>
  <si>
    <r>
      <rPr>
        <sz val="8"/>
        <rFont val="Arial"/>
        <family val="2"/>
        <charset val="1"/>
      </rPr>
      <t xml:space="preserve">ESTIMATIVA DE TEMPO GASTO COM DESLOCAMENTO - </t>
    </r>
    <r>
      <rPr>
        <u/>
        <sz val="8"/>
        <rFont val="Arial"/>
        <family val="2"/>
        <charset val="1"/>
      </rPr>
      <t>80/Km/h</t>
    </r>
  </si>
  <si>
    <t>MÉDIA DE TEMPO GASTO COM 01 VISITA TÉCNICA(h)</t>
  </si>
  <si>
    <t>TOTAL DE HORAS ESTIMADAS PARA A VIAGEM</t>
  </si>
  <si>
    <t>CALCULO APROXIMADO DO NÚMERO DE DIÁRIAS DE LOCAÇÃO DO VEÍCULO</t>
  </si>
  <si>
    <t>NÚMERO DE DIÁRIAS DE LOCAÇÃO DO VEÍCULO</t>
  </si>
  <si>
    <t>NÚMERO DE DIÁRIAS DO PROFISSIONAL</t>
  </si>
  <si>
    <t>VALOR GASTO COM COMBUSTÍVEL</t>
  </si>
  <si>
    <t>VALOR DE ALUGUEL DE VEÍCULO</t>
  </si>
  <si>
    <r>
      <rPr>
        <sz val="8"/>
        <color rgb="FF000000"/>
        <rFont val="Arial"/>
        <family val="2"/>
        <charset val="1"/>
      </rPr>
      <t xml:space="preserve">VALOR DE DIÁRIAS </t>
    </r>
    <r>
      <rPr>
        <b/>
        <sz val="8"/>
        <color rgb="FF000000"/>
        <rFont val="Arial"/>
        <family val="2"/>
        <charset val="1"/>
      </rPr>
      <t>PARA 01 PROFISSIONAL</t>
    </r>
  </si>
  <si>
    <t>VALOR TOTAL VIAGEM (VEÍCULO + COMBUSTÍVEL+DIÁRIAS)</t>
  </si>
  <si>
    <t>BDI</t>
  </si>
  <si>
    <t>VALOR TOTAL COM IMPOSTOS</t>
  </si>
  <si>
    <t>VALOR DESLOCAMENTO/ DIA</t>
  </si>
  <si>
    <t>km</t>
  </si>
  <si>
    <t>litros (l)</t>
  </si>
  <si>
    <t>h</t>
  </si>
  <si>
    <t>n</t>
  </si>
  <si>
    <t>unid</t>
  </si>
  <si>
    <t>R$</t>
  </si>
  <si>
    <t>VIAGEM PARA 02 MUNICÍPIOS</t>
  </si>
  <si>
    <t>MÉDIA DISTÂNCIA PERCORRIDA DENTRO DOS MUNICÍPIOS(km)</t>
  </si>
  <si>
    <t>MÉDIA DE TEMPO GASTO COM 02 VISITAS TÉCNICAS(h)</t>
  </si>
  <si>
    <t>VIAGEM PARA 03 MUNICÍPIOS</t>
  </si>
  <si>
    <t xml:space="preserve">PARÂMETROS </t>
  </si>
  <si>
    <t>MÉDIA DE TEMPO GASTO COM 03 VISITAS TÉCNICAS(h)</t>
  </si>
  <si>
    <t>VIAGEM PARA 04 MUNICÍPIOS</t>
  </si>
  <si>
    <t>MÉDIA DE TEMPO GASTO COM 04 VISITAS TÉCNICAS(h)</t>
  </si>
  <si>
    <t>VIAGEM PARA 05 MUNICÍPIOS</t>
  </si>
  <si>
    <t>MÉDIA DE TEMPO GASTO COM 05 VISITAS TÉCNICAS(h)</t>
  </si>
  <si>
    <t>MÉDIA GERAL DE VALOR DE DESLOCAMENTO</t>
  </si>
  <si>
    <t>PARA 01 MUNICÍPIO</t>
  </si>
  <si>
    <t>PARA 02 MUNICÍPIOS</t>
  </si>
  <si>
    <t>PARA 03 MUNICÍPIOS</t>
  </si>
  <si>
    <t>PARA 04 MUNICÍPIOS</t>
  </si>
  <si>
    <t>PARA 05 MUNICÍPIOS</t>
  </si>
  <si>
    <t>VALOR MÉDIO POR DIA DE DESLOCAMENTO</t>
  </si>
  <si>
    <t>QTD</t>
  </si>
  <si>
    <t>Estimativa de dias de deslocamento por profissional por mês</t>
  </si>
  <si>
    <t>Estimativa total de deslocamentos por profissional</t>
  </si>
  <si>
    <t>SINAPI base 02/2022 código 40813</t>
  </si>
  <si>
    <t>sinapi 02/2022</t>
  </si>
  <si>
    <t xml:space="preserve">encargos </t>
  </si>
  <si>
    <t>valor com encargos</t>
  </si>
  <si>
    <t>valor sem encargos</t>
  </si>
  <si>
    <t>Materiais (licenças autocad para 6 meses)</t>
  </si>
  <si>
    <t>Estimativa total de dias de deslocamento por mês (05 profissionais)</t>
  </si>
  <si>
    <t>Estimativa total de deslocamentos para os 05 profissionais</t>
  </si>
  <si>
    <t>Engenheiro Eletricista ou Arquiteto</t>
  </si>
  <si>
    <t>Engenheiro Civil e/ou Arquiteto</t>
  </si>
  <si>
    <t>Engenheiro Mecânico</t>
  </si>
  <si>
    <t>Proposta Padrão</t>
  </si>
  <si>
    <t>Objeto</t>
  </si>
  <si>
    <t>conforme Termo de Referência Anexo.</t>
  </si>
  <si>
    <t>Razão Social</t>
  </si>
  <si>
    <t>CNPJ</t>
  </si>
  <si>
    <t>Endereço</t>
  </si>
  <si>
    <t>Telefone</t>
  </si>
  <si>
    <t>e-mail</t>
  </si>
  <si>
    <t>Declaro estar ciente de todas as condições estabelecidas no Termo de Referência que acompanhou a proposta-padrão na mensagem eletrônica encaminhada pelo TRE-BA</t>
  </si>
  <si>
    <r>
      <t xml:space="preserve">Validade da proposta: </t>
    </r>
    <r>
      <rPr>
        <b/>
        <sz val="10"/>
        <color theme="1"/>
        <rFont val="Arial"/>
        <family val="2"/>
      </rPr>
      <t>60 (sessenta) dias</t>
    </r>
  </si>
  <si>
    <t>(local)</t>
  </si>
  <si>
    <t>(data)</t>
  </si>
  <si>
    <t>Assinatura:</t>
  </si>
  <si>
    <t>Identificação:</t>
  </si>
  <si>
    <t>item</t>
  </si>
  <si>
    <t>descrição</t>
  </si>
  <si>
    <t>qtd.</t>
  </si>
  <si>
    <t>valor unitário</t>
  </si>
  <si>
    <t>valor mensal</t>
  </si>
  <si>
    <t>valor total</t>
  </si>
  <si>
    <t>total da proposta:</t>
  </si>
  <si>
    <t>Deslocamentos</t>
  </si>
  <si>
    <t>Horas Extras</t>
  </si>
  <si>
    <t>Contratação emergencial de pessoa jurídica, cujo objeto social contemple a execução de serviços na área de engenharia ou arquitetura, para prestação de serviços técnicos especializados ao Tribunal Regional Eleitoral da Bahia</t>
  </si>
  <si>
    <t>TOTAL DESLOCAMENTO</t>
  </si>
  <si>
    <t>SERVIÇO EXTRAORDINÁRIO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</si>
</sst>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-&quot;R$ &quot;* #,##0.00_-;&quot;-R$ &quot;* #,##0.00_-;_-&quot;R$ &quot;* \-??_-;_-@_-"/>
    <numFmt numFmtId="165" formatCode="_-* #,##0.00_-;\-* #,##0.00_-;_-* \-??_-;_-@_-"/>
    <numFmt numFmtId="166" formatCode="_(* #,##0.00_);_(* \(#,##0.00\);_(* \-??_);_(@_)"/>
    <numFmt numFmtId="167" formatCode="#,##0.000"/>
    <numFmt numFmtId="168" formatCode="&quot;R$ &quot;#,##0.00"/>
    <numFmt numFmtId="169" formatCode="_(* #,##0.0000_);_(* \(#,##0.0000\);_(* \-??_);_(@_)"/>
    <numFmt numFmtId="170" formatCode="#,##0.00_ ;\-#,##0.00\ "/>
    <numFmt numFmtId="171" formatCode="&quot;R$&quot;\ #,##0.00"/>
  </numFmts>
  <fonts count="49" x14ac:knownFonts="1">
    <font>
      <sz val="10"/>
      <color rgb="FF000000"/>
      <name val="Times New Roman"/>
      <charset val="204"/>
    </font>
    <font>
      <sz val="10"/>
      <name val="Arial"/>
      <family val="2"/>
    </font>
    <font>
      <sz val="10"/>
      <color rgb="FF000000"/>
      <name val="Times New Roman"/>
      <family val="1"/>
      <charset val="1"/>
    </font>
    <font>
      <sz val="10"/>
      <name val="Arial"/>
      <family val="2"/>
    </font>
    <font>
      <sz val="11"/>
      <color rgb="FF000000"/>
      <name val="Calibri"/>
      <family val="2"/>
      <charset val="1"/>
    </font>
    <font>
      <b/>
      <sz val="12"/>
      <color rgb="FFFFFFFF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i/>
      <sz val="10"/>
      <color rgb="FF000000"/>
      <name val="Times New Roman"/>
      <family val="1"/>
      <charset val="1"/>
    </font>
    <font>
      <b/>
      <sz val="9"/>
      <name val="Times New Roman"/>
      <family val="1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b/>
      <sz val="9"/>
      <color rgb="FF000000"/>
      <name val="Times New Roman"/>
      <family val="1"/>
      <charset val="1"/>
    </font>
    <font>
      <sz val="9"/>
      <color rgb="FF000000"/>
      <name val="Times New Roman"/>
      <family val="1"/>
      <charset val="1"/>
    </font>
    <font>
      <b/>
      <sz val="12"/>
      <name val="Times New Roman"/>
      <family val="1"/>
      <charset val="1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b/>
      <i/>
      <sz val="8"/>
      <name val="Arial"/>
      <family val="2"/>
      <charset val="1"/>
    </font>
    <font>
      <i/>
      <sz val="8"/>
      <name val="Arial"/>
      <family val="2"/>
      <charset val="1"/>
    </font>
    <font>
      <b/>
      <u/>
      <sz val="8"/>
      <color rgb="FF1F497D"/>
      <name val="Arial"/>
      <family val="2"/>
      <charset val="1"/>
    </font>
    <font>
      <sz val="8"/>
      <color rgb="FFFF0000"/>
      <name val="Arial"/>
      <family val="2"/>
      <charset val="1"/>
    </font>
    <font>
      <sz val="8"/>
      <color rgb="FF000000"/>
      <name val="Arial"/>
      <family val="2"/>
      <charset val="1"/>
    </font>
    <font>
      <u/>
      <sz val="8"/>
      <name val="Arial"/>
      <family val="2"/>
      <charset val="1"/>
    </font>
    <font>
      <b/>
      <sz val="8"/>
      <color rgb="FF000000"/>
      <name val="Arial"/>
      <family val="2"/>
      <charset val="1"/>
    </font>
    <font>
      <b/>
      <i/>
      <sz val="8"/>
      <color rgb="FFFF0000"/>
      <name val="Arial"/>
      <family val="2"/>
      <charset val="1"/>
    </font>
    <font>
      <b/>
      <i/>
      <sz val="8"/>
      <color rgb="FF000000"/>
      <name val="Arial"/>
      <family val="2"/>
      <charset val="1"/>
    </font>
    <font>
      <sz val="8"/>
      <color rgb="FF1F497D"/>
      <name val="Arial"/>
      <family val="2"/>
      <charset val="1"/>
    </font>
    <font>
      <b/>
      <sz val="10"/>
      <name val="Arial"/>
      <family val="2"/>
      <charset val="1"/>
    </font>
    <font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sz val="10"/>
      <color rgb="FF000000"/>
      <name val="Times New Roman"/>
      <family val="1"/>
    </font>
    <font>
      <sz val="10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sz val="11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0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b/>
      <u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595959"/>
        <bgColor rgb="FF1F497D"/>
      </patternFill>
    </fill>
    <fill>
      <patternFill patternType="solid">
        <fgColor rgb="FF7F7F7F"/>
        <bgColor rgb="FF969696"/>
      </patternFill>
    </fill>
    <fill>
      <patternFill patternType="solid">
        <fgColor rgb="FFBFBFBF"/>
        <bgColor rgb="FFC0C0C0"/>
      </patternFill>
    </fill>
    <fill>
      <patternFill patternType="solid">
        <fgColor rgb="FFE6B9B8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  <fill>
      <patternFill patternType="solid">
        <fgColor rgb="FFC0C0C0"/>
        <bgColor rgb="FFBFBFBF"/>
      </patternFill>
    </fill>
    <fill>
      <patternFill patternType="solid">
        <fgColor rgb="FFFFFF99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19">
    <xf numFmtId="0" fontId="0" fillId="0" borderId="0"/>
    <xf numFmtId="165" fontId="30" fillId="0" borderId="0" applyBorder="0" applyProtection="0"/>
    <xf numFmtId="164" fontId="30" fillId="0" borderId="0" applyBorder="0" applyProtection="0"/>
    <xf numFmtId="9" fontId="1" fillId="0" borderId="0" applyBorder="0" applyAlignment="0" applyProtection="0"/>
    <xf numFmtId="164" fontId="30" fillId="0" borderId="0" applyBorder="0" applyProtection="0"/>
    <xf numFmtId="0" fontId="2" fillId="0" borderId="0"/>
    <xf numFmtId="0" fontId="3" fillId="0" borderId="0"/>
    <xf numFmtId="0" fontId="4" fillId="0" borderId="0"/>
    <xf numFmtId="9" fontId="30" fillId="0" borderId="0" applyBorder="0" applyProtection="0"/>
    <xf numFmtId="9" fontId="30" fillId="0" borderId="0" applyBorder="0" applyProtection="0"/>
    <xf numFmtId="9" fontId="30" fillId="0" borderId="0" applyBorder="0" applyProtection="0"/>
    <xf numFmtId="165" fontId="30" fillId="0" borderId="0" applyBorder="0" applyProtection="0"/>
    <xf numFmtId="166" fontId="30" fillId="0" borderId="0" applyBorder="0" applyProtection="0"/>
    <xf numFmtId="165" fontId="30" fillId="0" borderId="0" applyBorder="0" applyProtection="0"/>
    <xf numFmtId="165" fontId="30" fillId="0" borderId="0" applyBorder="0" applyProtection="0"/>
    <xf numFmtId="165" fontId="30" fillId="0" borderId="0" applyBorder="0" applyProtection="0"/>
    <xf numFmtId="165" fontId="30" fillId="0" borderId="0" applyBorder="0" applyProtection="0"/>
    <xf numFmtId="165" fontId="30" fillId="0" borderId="0" applyBorder="0" applyProtection="0"/>
    <xf numFmtId="165" fontId="30" fillId="0" borderId="0" applyBorder="0" applyProtection="0"/>
  </cellStyleXfs>
  <cellXfs count="224">
    <xf numFmtId="0" fontId="0" fillId="0" borderId="0" xfId="0"/>
    <xf numFmtId="0" fontId="2" fillId="0" borderId="0" xfId="7" applyFont="1"/>
    <xf numFmtId="0" fontId="6" fillId="0" borderId="0" xfId="7" applyFont="1" applyBorder="1" applyAlignment="1">
      <alignment horizontal="center" vertical="center"/>
    </xf>
    <xf numFmtId="0" fontId="2" fillId="0" borderId="1" xfId="7" applyFont="1" applyBorder="1"/>
    <xf numFmtId="0" fontId="6" fillId="0" borderId="1" xfId="7" applyFont="1" applyBorder="1" applyAlignment="1">
      <alignment horizontal="center" vertical="center" wrapText="1"/>
    </xf>
    <xf numFmtId="0" fontId="2" fillId="0" borderId="1" xfId="7" applyFont="1" applyBorder="1" applyAlignment="1">
      <alignment horizontal="center" vertical="center" wrapText="1"/>
    </xf>
    <xf numFmtId="0" fontId="2" fillId="0" borderId="1" xfId="7" applyFont="1" applyBorder="1" applyAlignment="1">
      <alignment vertical="center" wrapText="1"/>
    </xf>
    <xf numFmtId="165" fontId="2" fillId="0" borderId="1" xfId="14" applyFont="1" applyBorder="1" applyAlignment="1" applyProtection="1">
      <alignment horizontal="center" vertical="center" wrapText="1"/>
    </xf>
    <xf numFmtId="165" fontId="6" fillId="0" borderId="1" xfId="14" applyFont="1" applyBorder="1" applyAlignment="1" applyProtection="1">
      <alignment horizontal="center" vertical="center" wrapText="1"/>
    </xf>
    <xf numFmtId="0" fontId="6" fillId="0" borderId="0" xfId="7" applyFont="1" applyAlignment="1">
      <alignment vertical="center"/>
    </xf>
    <xf numFmtId="10" fontId="2" fillId="0" borderId="1" xfId="10" applyNumberFormat="1" applyFont="1" applyBorder="1" applyAlignment="1" applyProtection="1">
      <alignment horizontal="center" vertical="center" wrapText="1"/>
    </xf>
    <xf numFmtId="165" fontId="6" fillId="0" borderId="1" xfId="7" applyNumberFormat="1" applyFont="1" applyBorder="1" applyAlignment="1">
      <alignment horizontal="center" vertical="center" wrapText="1"/>
    </xf>
    <xf numFmtId="10" fontId="2" fillId="0" borderId="1" xfId="7" applyNumberFormat="1" applyFont="1" applyBorder="1" applyAlignment="1">
      <alignment horizontal="center" vertical="center" wrapText="1"/>
    </xf>
    <xf numFmtId="10" fontId="2" fillId="5" borderId="1" xfId="10" applyNumberFormat="1" applyFont="1" applyFill="1" applyBorder="1" applyAlignment="1" applyProtection="1">
      <alignment horizontal="center" vertical="center" wrapText="1"/>
    </xf>
    <xf numFmtId="10" fontId="6" fillId="0" borderId="1" xfId="7" applyNumberFormat="1" applyFont="1" applyBorder="1" applyAlignment="1">
      <alignment horizontal="center" vertical="center" wrapText="1"/>
    </xf>
    <xf numFmtId="165" fontId="2" fillId="0" borderId="1" xfId="7" applyNumberFormat="1" applyFont="1" applyBorder="1" applyAlignment="1">
      <alignment horizontal="center" vertical="center" wrapText="1"/>
    </xf>
    <xf numFmtId="0" fontId="2" fillId="0" borderId="0" xfId="7" applyFont="1" applyAlignment="1">
      <alignment vertical="center"/>
    </xf>
    <xf numFmtId="0" fontId="2" fillId="0" borderId="1" xfId="7" applyFont="1" applyBorder="1" applyAlignment="1">
      <alignment horizontal="justify" vertical="center" wrapText="1"/>
    </xf>
    <xf numFmtId="165" fontId="2" fillId="0" borderId="1" xfId="1" applyFont="1" applyBorder="1" applyAlignment="1" applyProtection="1">
      <alignment horizontal="center" vertical="center" wrapText="1"/>
    </xf>
    <xf numFmtId="10" fontId="2" fillId="0" borderId="0" xfId="10" applyNumberFormat="1" applyFont="1" applyBorder="1" applyAlignment="1" applyProtection="1"/>
    <xf numFmtId="165" fontId="2" fillId="0" borderId="0" xfId="7" applyNumberFormat="1" applyFont="1"/>
    <xf numFmtId="0" fontId="6" fillId="0" borderId="1" xfId="7" applyFont="1" applyBorder="1" applyAlignment="1">
      <alignment vertical="center" wrapText="1"/>
    </xf>
    <xf numFmtId="10" fontId="7" fillId="0" borderId="3" xfId="10" applyNumberFormat="1" applyFont="1" applyBorder="1" applyAlignment="1" applyProtection="1">
      <alignment horizontal="center" vertical="center" wrapText="1"/>
    </xf>
    <xf numFmtId="165" fontId="2" fillId="0" borderId="1" xfId="7" applyNumberFormat="1" applyFont="1" applyBorder="1" applyAlignment="1">
      <alignment vertical="center" wrapText="1"/>
    </xf>
    <xf numFmtId="165" fontId="6" fillId="0" borderId="1" xfId="7" applyNumberFormat="1" applyFont="1" applyBorder="1" applyAlignment="1">
      <alignment vertical="center" wrapText="1"/>
    </xf>
    <xf numFmtId="165" fontId="2" fillId="0" borderId="1" xfId="14" applyFont="1" applyBorder="1" applyAlignment="1" applyProtection="1">
      <alignment vertical="center" wrapText="1"/>
    </xf>
    <xf numFmtId="0" fontId="6" fillId="0" borderId="0" xfId="0" applyFont="1" applyAlignment="1">
      <alignment horizontal="left" vertical="top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1" xfId="2" applyFont="1" applyBorder="1" applyAlignment="1" applyProtection="1">
      <alignment horizontal="center" vertical="center" wrapText="1"/>
    </xf>
    <xf numFmtId="164" fontId="10" fillId="0" borderId="1" xfId="2" applyFont="1" applyBorder="1" applyAlignment="1" applyProtection="1">
      <alignment horizontal="center" vertical="center" wrapText="1"/>
    </xf>
    <xf numFmtId="164" fontId="11" fillId="0" borderId="1" xfId="2" applyFont="1" applyBorder="1" applyAlignment="1" applyProtection="1">
      <alignment horizontal="right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justify" vertical="center" wrapText="1"/>
    </xf>
    <xf numFmtId="4" fontId="13" fillId="6" borderId="1" xfId="0" applyNumberFormat="1" applyFont="1" applyFill="1" applyBorder="1" applyAlignment="1">
      <alignment horizontal="right" vertical="center" wrapText="1"/>
    </xf>
    <xf numFmtId="0" fontId="13" fillId="6" borderId="1" xfId="0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right" vertical="top"/>
    </xf>
    <xf numFmtId="4" fontId="2" fillId="0" borderId="1" xfId="0" applyNumberFormat="1" applyFont="1" applyBorder="1" applyAlignment="1">
      <alignment horizontal="right" vertical="top"/>
    </xf>
    <xf numFmtId="164" fontId="0" fillId="0" borderId="4" xfId="2" applyFont="1" applyBorder="1" applyAlignment="1" applyProtection="1">
      <alignment horizontal="right" vertical="top"/>
    </xf>
    <xf numFmtId="0" fontId="14" fillId="0" borderId="0" xfId="0" applyFont="1" applyAlignment="1">
      <alignment vertical="top"/>
    </xf>
    <xf numFmtId="164" fontId="0" fillId="0" borderId="0" xfId="0" applyNumberFormat="1" applyAlignment="1">
      <alignment horizontal="left" vertical="top"/>
    </xf>
    <xf numFmtId="0" fontId="15" fillId="0" borderId="0" xfId="6" applyFont="1"/>
    <xf numFmtId="2" fontId="15" fillId="0" borderId="0" xfId="6" applyNumberFormat="1" applyFont="1"/>
    <xf numFmtId="3" fontId="15" fillId="0" borderId="0" xfId="6" applyNumberFormat="1" applyFont="1" applyAlignment="1">
      <alignment horizontal="center"/>
    </xf>
    <xf numFmtId="4" fontId="16" fillId="0" borderId="0" xfId="6" applyNumberFormat="1" applyFont="1"/>
    <xf numFmtId="2" fontId="15" fillId="0" borderId="0" xfId="6" applyNumberFormat="1" applyFont="1" applyAlignment="1">
      <alignment horizontal="center"/>
    </xf>
    <xf numFmtId="0" fontId="15" fillId="0" borderId="0" xfId="6" applyFont="1" applyAlignment="1">
      <alignment horizontal="center" vertical="center"/>
    </xf>
    <xf numFmtId="0" fontId="15" fillId="0" borderId="0" xfId="6" applyFont="1" applyAlignment="1">
      <alignment horizontal="center"/>
    </xf>
    <xf numFmtId="1" fontId="17" fillId="0" borderId="0" xfId="6" applyNumberFormat="1" applyFont="1" applyAlignment="1">
      <alignment horizontal="center"/>
    </xf>
    <xf numFmtId="0" fontId="17" fillId="0" borderId="0" xfId="6" applyFont="1" applyAlignment="1">
      <alignment horizontal="center"/>
    </xf>
    <xf numFmtId="1" fontId="18" fillId="0" borderId="0" xfId="6" applyNumberFormat="1" applyFont="1" applyAlignment="1">
      <alignment horizontal="center"/>
    </xf>
    <xf numFmtId="0" fontId="18" fillId="0" borderId="0" xfId="6" applyFont="1" applyAlignment="1">
      <alignment horizontal="center"/>
    </xf>
    <xf numFmtId="0" fontId="16" fillId="0" borderId="5" xfId="6" applyFont="1" applyBorder="1" applyAlignment="1">
      <alignment horizontal="center" vertical="center"/>
    </xf>
    <xf numFmtId="2" fontId="15" fillId="0" borderId="0" xfId="6" applyNumberFormat="1" applyFont="1" applyAlignment="1">
      <alignment horizontal="center" vertical="center"/>
    </xf>
    <xf numFmtId="0" fontId="15" fillId="0" borderId="0" xfId="6" applyFont="1" applyAlignment="1">
      <alignment vertical="center"/>
    </xf>
    <xf numFmtId="1" fontId="17" fillId="0" borderId="0" xfId="6" applyNumberFormat="1" applyFont="1" applyAlignment="1">
      <alignment horizontal="center" vertical="center"/>
    </xf>
    <xf numFmtId="0" fontId="17" fillId="0" borderId="0" xfId="6" applyFont="1" applyAlignment="1">
      <alignment horizontal="center" vertical="center"/>
    </xf>
    <xf numFmtId="4" fontId="16" fillId="0" borderId="1" xfId="6" applyNumberFormat="1" applyFont="1" applyBorder="1"/>
    <xf numFmtId="4" fontId="16" fillId="0" borderId="1" xfId="6" applyNumberFormat="1" applyFont="1" applyBorder="1" applyAlignment="1">
      <alignment horizontal="right"/>
    </xf>
    <xf numFmtId="167" fontId="16" fillId="0" borderId="1" xfId="6" applyNumberFormat="1" applyFont="1" applyBorder="1"/>
    <xf numFmtId="4" fontId="16" fillId="0" borderId="1" xfId="6" applyNumberFormat="1" applyFont="1" applyBorder="1" applyAlignment="1">
      <alignment vertical="center"/>
    </xf>
    <xf numFmtId="0" fontId="20" fillId="6" borderId="0" xfId="6" applyFont="1" applyFill="1" applyAlignment="1">
      <alignment horizontal="center" vertical="center"/>
    </xf>
    <xf numFmtId="0" fontId="15" fillId="0" borderId="0" xfId="6" applyFont="1" applyAlignment="1">
      <alignment horizontal="left" vertical="center"/>
    </xf>
    <xf numFmtId="0" fontId="21" fillId="8" borderId="6" xfId="6" applyFont="1" applyFill="1" applyBorder="1" applyAlignment="1">
      <alignment horizontal="center" vertical="center" wrapText="1"/>
    </xf>
    <xf numFmtId="0" fontId="21" fillId="8" borderId="7" xfId="6" applyFont="1" applyFill="1" applyBorder="1" applyAlignment="1">
      <alignment horizontal="center" vertical="center" wrapText="1"/>
    </xf>
    <xf numFmtId="2" fontId="15" fillId="8" borderId="7" xfId="6" applyNumberFormat="1" applyFont="1" applyFill="1" applyBorder="1" applyAlignment="1">
      <alignment horizontal="center" vertical="center" wrapText="1"/>
    </xf>
    <xf numFmtId="3" fontId="21" fillId="8" borderId="7" xfId="6" applyNumberFormat="1" applyFont="1" applyFill="1" applyBorder="1" applyAlignment="1">
      <alignment horizontal="center" vertical="center" wrapText="1"/>
    </xf>
    <xf numFmtId="4" fontId="21" fillId="8" borderId="7" xfId="6" applyNumberFormat="1" applyFont="1" applyFill="1" applyBorder="1" applyAlignment="1">
      <alignment horizontal="center" vertical="center" wrapText="1"/>
    </xf>
    <xf numFmtId="2" fontId="21" fillId="8" borderId="7" xfId="6" applyNumberFormat="1" applyFont="1" applyFill="1" applyBorder="1" applyAlignment="1">
      <alignment horizontal="center" vertical="center" wrapText="1"/>
    </xf>
    <xf numFmtId="0" fontId="18" fillId="8" borderId="7" xfId="6" applyFont="1" applyFill="1" applyBorder="1" applyAlignment="1">
      <alignment horizontal="center" vertical="center" wrapText="1"/>
    </xf>
    <xf numFmtId="0" fontId="21" fillId="8" borderId="8" xfId="6" applyFont="1" applyFill="1" applyBorder="1" applyAlignment="1">
      <alignment horizontal="center" vertical="center" wrapText="1"/>
    </xf>
    <xf numFmtId="1" fontId="24" fillId="0" borderId="0" xfId="6" applyNumberFormat="1" applyFont="1" applyAlignment="1">
      <alignment horizontal="center" vertical="center"/>
    </xf>
    <xf numFmtId="0" fontId="24" fillId="0" borderId="0" xfId="6" applyFont="1" applyAlignment="1">
      <alignment horizontal="center" vertical="center" wrapText="1"/>
    </xf>
    <xf numFmtId="0" fontId="21" fillId="0" borderId="0" xfId="6" applyFont="1" applyAlignment="1">
      <alignment horizontal="center" vertical="center"/>
    </xf>
    <xf numFmtId="0" fontId="23" fillId="8" borderId="9" xfId="6" applyFont="1" applyFill="1" applyBorder="1" applyAlignment="1">
      <alignment horizontal="center" vertical="center" wrapText="1"/>
    </xf>
    <xf numFmtId="0" fontId="23" fillId="8" borderId="4" xfId="6" applyFont="1" applyFill="1" applyBorder="1" applyAlignment="1">
      <alignment horizontal="center" vertical="center" wrapText="1"/>
    </xf>
    <xf numFmtId="2" fontId="23" fillId="8" borderId="4" xfId="6" applyNumberFormat="1" applyFont="1" applyFill="1" applyBorder="1" applyAlignment="1">
      <alignment horizontal="center" vertical="center" wrapText="1"/>
    </xf>
    <xf numFmtId="3" fontId="23" fillId="8" borderId="4" xfId="6" applyNumberFormat="1" applyFont="1" applyFill="1" applyBorder="1" applyAlignment="1">
      <alignment horizontal="center" vertical="center" wrapText="1"/>
    </xf>
    <xf numFmtId="4" fontId="23" fillId="8" borderId="4" xfId="6" applyNumberFormat="1" applyFont="1" applyFill="1" applyBorder="1" applyAlignment="1">
      <alignment horizontal="center" vertical="center" wrapText="1"/>
    </xf>
    <xf numFmtId="10" fontId="17" fillId="8" borderId="4" xfId="6" applyNumberFormat="1" applyFont="1" applyFill="1" applyBorder="1" applyAlignment="1">
      <alignment horizontal="center" vertical="center"/>
    </xf>
    <xf numFmtId="0" fontId="23" fillId="8" borderId="10" xfId="6" applyFont="1" applyFill="1" applyBorder="1" applyAlignment="1">
      <alignment horizontal="center" vertical="center" wrapText="1"/>
    </xf>
    <xf numFmtId="1" fontId="25" fillId="0" borderId="0" xfId="6" applyNumberFormat="1" applyFont="1" applyAlignment="1">
      <alignment horizontal="center" vertical="center"/>
    </xf>
    <xf numFmtId="0" fontId="25" fillId="0" borderId="0" xfId="6" applyFont="1" applyAlignment="1">
      <alignment horizontal="center" vertical="center"/>
    </xf>
    <xf numFmtId="0" fontId="23" fillId="0" borderId="0" xfId="6" applyFont="1" applyAlignment="1">
      <alignment horizontal="center" vertical="center"/>
    </xf>
    <xf numFmtId="0" fontId="21" fillId="0" borderId="11" xfId="6" applyFont="1" applyBorder="1" applyAlignment="1">
      <alignment horizontal="center" vertical="center"/>
    </xf>
    <xf numFmtId="3" fontId="15" fillId="0" borderId="1" xfId="12" applyNumberFormat="1" applyFont="1" applyBorder="1" applyAlignment="1" applyProtection="1">
      <alignment horizontal="center" vertical="center"/>
    </xf>
    <xf numFmtId="2" fontId="21" fillId="0" borderId="1" xfId="12" applyNumberFormat="1" applyFont="1" applyBorder="1" applyAlignment="1" applyProtection="1">
      <alignment horizontal="center" vertical="center"/>
    </xf>
    <xf numFmtId="2" fontId="21" fillId="0" borderId="1" xfId="6" applyNumberFormat="1" applyFont="1" applyBorder="1" applyAlignment="1">
      <alignment horizontal="center" vertical="center"/>
    </xf>
    <xf numFmtId="3" fontId="21" fillId="0" borderId="1" xfId="6" applyNumberFormat="1" applyFont="1" applyBorder="1" applyAlignment="1">
      <alignment horizontal="center" vertical="center"/>
    </xf>
    <xf numFmtId="4" fontId="21" fillId="0" borderId="1" xfId="6" applyNumberFormat="1" applyFont="1" applyBorder="1" applyAlignment="1">
      <alignment horizontal="center" vertical="center"/>
    </xf>
    <xf numFmtId="2" fontId="15" fillId="0" borderId="1" xfId="6" applyNumberFormat="1" applyFont="1" applyBorder="1" applyAlignment="1">
      <alignment horizontal="center" vertical="center"/>
    </xf>
    <xf numFmtId="1" fontId="15" fillId="0" borderId="1" xfId="6" applyNumberFormat="1" applyFont="1" applyBorder="1" applyAlignment="1">
      <alignment horizontal="center" vertical="center"/>
    </xf>
    <xf numFmtId="4" fontId="15" fillId="0" borderId="1" xfId="12" applyNumberFormat="1" applyFont="1" applyBorder="1" applyAlignment="1" applyProtection="1">
      <alignment horizontal="center" vertical="center"/>
    </xf>
    <xf numFmtId="168" fontId="21" fillId="9" borderId="1" xfId="6" applyNumberFormat="1" applyFont="1" applyFill="1" applyBorder="1" applyAlignment="1">
      <alignment horizontal="center" vertical="center"/>
    </xf>
    <xf numFmtId="168" fontId="15" fillId="9" borderId="1" xfId="12" applyNumberFormat="1" applyFont="1" applyFill="1" applyBorder="1" applyAlignment="1" applyProtection="1">
      <alignment horizontal="center" vertical="center"/>
    </xf>
    <xf numFmtId="168" fontId="21" fillId="9" borderId="1" xfId="12" applyNumberFormat="1" applyFont="1" applyFill="1" applyBorder="1" applyAlignment="1" applyProtection="1">
      <alignment horizontal="center" vertical="center"/>
    </xf>
    <xf numFmtId="168" fontId="23" fillId="9" borderId="12" xfId="6" applyNumberFormat="1" applyFont="1" applyFill="1" applyBorder="1" applyAlignment="1">
      <alignment horizontal="center" vertical="center"/>
    </xf>
    <xf numFmtId="165" fontId="24" fillId="0" borderId="0" xfId="6" applyNumberFormat="1" applyFont="1" applyAlignment="1">
      <alignment horizontal="center" vertical="center"/>
    </xf>
    <xf numFmtId="166" fontId="23" fillId="0" borderId="0" xfId="6" applyNumberFormat="1" applyFont="1" applyAlignment="1">
      <alignment horizontal="center" vertical="center"/>
    </xf>
    <xf numFmtId="169" fontId="23" fillId="0" borderId="0" xfId="6" applyNumberFormat="1" applyFont="1" applyAlignment="1">
      <alignment horizontal="center" vertical="center"/>
    </xf>
    <xf numFmtId="0" fontId="21" fillId="0" borderId="13" xfId="6" applyFont="1" applyBorder="1" applyAlignment="1">
      <alignment horizontal="center" vertical="center"/>
    </xf>
    <xf numFmtId="3" fontId="15" fillId="0" borderId="14" xfId="12" applyNumberFormat="1" applyFont="1" applyBorder="1" applyAlignment="1" applyProtection="1">
      <alignment horizontal="center" vertical="center"/>
    </xf>
    <xf numFmtId="2" fontId="21" fillId="0" borderId="14" xfId="12" applyNumberFormat="1" applyFont="1" applyBorder="1" applyAlignment="1" applyProtection="1">
      <alignment horizontal="center" vertical="center"/>
    </xf>
    <xf numFmtId="2" fontId="21" fillId="0" borderId="14" xfId="6" applyNumberFormat="1" applyFont="1" applyBorder="1" applyAlignment="1">
      <alignment horizontal="center" vertical="center"/>
    </xf>
    <xf numFmtId="4" fontId="21" fillId="0" borderId="14" xfId="6" applyNumberFormat="1" applyFont="1" applyBorder="1" applyAlignment="1">
      <alignment horizontal="center" vertical="center"/>
    </xf>
    <xf numFmtId="2" fontId="15" fillId="0" borderId="14" xfId="6" applyNumberFormat="1" applyFont="1" applyBorder="1" applyAlignment="1">
      <alignment horizontal="center" vertical="center"/>
    </xf>
    <xf numFmtId="1" fontId="15" fillId="0" borderId="14" xfId="6" applyNumberFormat="1" applyFont="1" applyBorder="1" applyAlignment="1">
      <alignment horizontal="center" vertical="center"/>
    </xf>
    <xf numFmtId="4" fontId="15" fillId="0" borderId="14" xfId="12" applyNumberFormat="1" applyFont="1" applyBorder="1" applyAlignment="1" applyProtection="1">
      <alignment horizontal="center" vertical="center"/>
    </xf>
    <xf numFmtId="168" fontId="21" fillId="9" borderId="14" xfId="6" applyNumberFormat="1" applyFont="1" applyFill="1" applyBorder="1" applyAlignment="1">
      <alignment horizontal="center" vertical="center"/>
    </xf>
    <xf numFmtId="168" fontId="21" fillId="9" borderId="14" xfId="12" applyNumberFormat="1" applyFont="1" applyFill="1" applyBorder="1" applyAlignment="1" applyProtection="1">
      <alignment horizontal="center" vertical="center"/>
    </xf>
    <xf numFmtId="168" fontId="15" fillId="9" borderId="14" xfId="12" applyNumberFormat="1" applyFont="1" applyFill="1" applyBorder="1" applyAlignment="1" applyProtection="1">
      <alignment horizontal="center" vertical="center"/>
    </xf>
    <xf numFmtId="168" fontId="23" fillId="9" borderId="15" xfId="6" applyNumberFormat="1" applyFont="1" applyFill="1" applyBorder="1" applyAlignment="1">
      <alignment horizontal="center" vertical="center"/>
    </xf>
    <xf numFmtId="0" fontId="21" fillId="0" borderId="0" xfId="6" applyFont="1"/>
    <xf numFmtId="2" fontId="21" fillId="0" borderId="0" xfId="6" applyNumberFormat="1" applyFont="1"/>
    <xf numFmtId="3" fontId="21" fillId="0" borderId="0" xfId="6" applyNumberFormat="1" applyFont="1" applyAlignment="1">
      <alignment horizontal="center"/>
    </xf>
    <xf numFmtId="4" fontId="23" fillId="0" borderId="0" xfId="6" applyNumberFormat="1" applyFont="1"/>
    <xf numFmtId="2" fontId="21" fillId="0" borderId="0" xfId="6" applyNumberFormat="1" applyFont="1" applyAlignment="1">
      <alignment horizontal="center"/>
    </xf>
    <xf numFmtId="0" fontId="21" fillId="0" borderId="0" xfId="6" applyFont="1" applyAlignment="1">
      <alignment horizontal="center"/>
    </xf>
    <xf numFmtId="1" fontId="24" fillId="0" borderId="0" xfId="6" applyNumberFormat="1" applyFont="1" applyAlignment="1">
      <alignment horizontal="center"/>
    </xf>
    <xf numFmtId="165" fontId="24" fillId="0" borderId="0" xfId="6" applyNumberFormat="1" applyFont="1" applyAlignment="1">
      <alignment horizontal="center"/>
    </xf>
    <xf numFmtId="0" fontId="20" fillId="0" borderId="0" xfId="6" applyFont="1" applyAlignment="1">
      <alignment horizontal="center"/>
    </xf>
    <xf numFmtId="0" fontId="26" fillId="8" borderId="7" xfId="6" applyFont="1" applyFill="1" applyBorder="1" applyAlignment="1">
      <alignment horizontal="center" vertical="center" wrapText="1"/>
    </xf>
    <xf numFmtId="3" fontId="26" fillId="8" borderId="7" xfId="6" applyNumberFormat="1" applyFont="1" applyFill="1" applyBorder="1" applyAlignment="1">
      <alignment horizontal="center" vertical="center" wrapText="1"/>
    </xf>
    <xf numFmtId="3" fontId="15" fillId="0" borderId="1" xfId="6" applyNumberFormat="1" applyFont="1" applyBorder="1" applyAlignment="1">
      <alignment horizontal="center" vertical="center"/>
    </xf>
    <xf numFmtId="3" fontId="26" fillId="0" borderId="1" xfId="12" applyNumberFormat="1" applyFont="1" applyBorder="1" applyAlignment="1" applyProtection="1">
      <alignment horizontal="center" vertical="center"/>
    </xf>
    <xf numFmtId="3" fontId="26" fillId="0" borderId="1" xfId="6" applyNumberFormat="1" applyFont="1" applyBorder="1" applyAlignment="1">
      <alignment horizontal="center" vertical="center"/>
    </xf>
    <xf numFmtId="0" fontId="16" fillId="0" borderId="5" xfId="6" applyFont="1" applyBorder="1" applyAlignment="1">
      <alignment horizontal="left" vertical="center"/>
    </xf>
    <xf numFmtId="0" fontId="15" fillId="0" borderId="2" xfId="6" applyFont="1" applyBorder="1" applyAlignment="1">
      <alignment horizontal="left" vertical="center"/>
    </xf>
    <xf numFmtId="0" fontId="15" fillId="0" borderId="16" xfId="6" applyFont="1" applyBorder="1" applyAlignment="1">
      <alignment horizontal="left" vertical="center"/>
    </xf>
    <xf numFmtId="0" fontId="15" fillId="0" borderId="3" xfId="6" applyFont="1" applyBorder="1" applyAlignment="1">
      <alignment horizontal="left" vertical="center"/>
    </xf>
    <xf numFmtId="170" fontId="24" fillId="0" borderId="0" xfId="6" applyNumberFormat="1" applyFont="1" applyAlignment="1">
      <alignment horizontal="center" vertical="center"/>
    </xf>
    <xf numFmtId="170" fontId="24" fillId="0" borderId="0" xfId="6" applyNumberFormat="1" applyFont="1" applyAlignment="1">
      <alignment horizontal="center"/>
    </xf>
    <xf numFmtId="0" fontId="3" fillId="0" borderId="0" xfId="6"/>
    <xf numFmtId="0" fontId="27" fillId="0" borderId="1" xfId="6" applyFont="1" applyBorder="1"/>
    <xf numFmtId="0" fontId="28" fillId="0" borderId="1" xfId="6" applyFont="1" applyBorder="1" applyAlignment="1">
      <alignment horizontal="center" vertical="center" wrapText="1"/>
    </xf>
    <xf numFmtId="0" fontId="29" fillId="0" borderId="1" xfId="6" applyFont="1" applyBorder="1" applyAlignment="1">
      <alignment horizontal="center" vertical="center"/>
    </xf>
    <xf numFmtId="164" fontId="0" fillId="0" borderId="1" xfId="4" applyFont="1" applyBorder="1" applyAlignment="1" applyProtection="1">
      <alignment vertical="center"/>
    </xf>
    <xf numFmtId="165" fontId="3" fillId="0" borderId="0" xfId="1" applyFont="1" applyBorder="1" applyAlignment="1" applyProtection="1"/>
    <xf numFmtId="164" fontId="3" fillId="0" borderId="0" xfId="6" applyNumberFormat="1"/>
    <xf numFmtId="165" fontId="30" fillId="0" borderId="0" xfId="1"/>
    <xf numFmtId="10" fontId="31" fillId="0" borderId="0" xfId="3" applyNumberFormat="1" applyFont="1"/>
    <xf numFmtId="43" fontId="2" fillId="0" borderId="0" xfId="7" applyNumberFormat="1" applyFont="1"/>
    <xf numFmtId="165" fontId="2" fillId="10" borderId="1" xfId="14" applyFont="1" applyFill="1" applyBorder="1" applyAlignment="1" applyProtection="1">
      <alignment horizontal="center" vertical="center" wrapText="1"/>
    </xf>
    <xf numFmtId="0" fontId="32" fillId="0" borderId="0" xfId="0" applyFont="1"/>
    <xf numFmtId="0" fontId="34" fillId="0" borderId="20" xfId="0" applyFont="1" applyBorder="1" applyAlignment="1">
      <alignment vertical="center"/>
    </xf>
    <xf numFmtId="0" fontId="34" fillId="0" borderId="0" xfId="0" applyFont="1" applyAlignment="1">
      <alignment vertical="center"/>
    </xf>
    <xf numFmtId="0" fontId="33" fillId="0" borderId="0" xfId="0" applyFont="1" applyBorder="1"/>
    <xf numFmtId="0" fontId="32" fillId="0" borderId="0" xfId="0" applyFont="1" applyBorder="1"/>
    <xf numFmtId="0" fontId="35" fillId="0" borderId="20" xfId="0" applyFont="1" applyBorder="1" applyAlignment="1">
      <alignment vertical="center"/>
    </xf>
    <xf numFmtId="0" fontId="32" fillId="0" borderId="22" xfId="0" applyFont="1" applyBorder="1"/>
    <xf numFmtId="0" fontId="34" fillId="0" borderId="0" xfId="0" applyFont="1"/>
    <xf numFmtId="0" fontId="38" fillId="0" borderId="0" xfId="0" applyFont="1" applyAlignment="1">
      <alignment horizontal="center"/>
    </xf>
    <xf numFmtId="0" fontId="34" fillId="0" borderId="0" xfId="0" applyFont="1" applyAlignment="1">
      <alignment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37" fillId="11" borderId="23" xfId="0" applyFont="1" applyFill="1" applyBorder="1" applyAlignment="1">
      <alignment horizontal="center" vertical="center" wrapText="1"/>
    </xf>
    <xf numFmtId="0" fontId="40" fillId="0" borderId="20" xfId="0" applyFont="1" applyBorder="1" applyAlignment="1">
      <alignment horizontal="left" vertical="center"/>
    </xf>
    <xf numFmtId="0" fontId="40" fillId="0" borderId="20" xfId="0" applyFont="1" applyBorder="1" applyAlignment="1">
      <alignment vertical="center"/>
    </xf>
    <xf numFmtId="164" fontId="41" fillId="0" borderId="20" xfId="0" applyNumberFormat="1" applyFont="1" applyBorder="1" applyAlignment="1">
      <alignment horizontal="left" vertical="center"/>
    </xf>
    <xf numFmtId="164" fontId="41" fillId="0" borderId="20" xfId="0" applyNumberFormat="1" applyFont="1" applyBorder="1" applyAlignment="1">
      <alignment horizontal="left" vertical="center" wrapText="1"/>
    </xf>
    <xf numFmtId="164" fontId="41" fillId="0" borderId="20" xfId="0" applyNumberFormat="1" applyFont="1" applyBorder="1" applyAlignment="1">
      <alignment horizontal="center" vertical="center"/>
    </xf>
    <xf numFmtId="0" fontId="41" fillId="7" borderId="20" xfId="0" applyFont="1" applyFill="1" applyBorder="1" applyAlignment="1">
      <alignment horizontal="left" vertical="center"/>
    </xf>
    <xf numFmtId="0" fontId="40" fillId="7" borderId="20" xfId="0" applyFont="1" applyFill="1" applyBorder="1" applyAlignment="1">
      <alignment vertical="center"/>
    </xf>
    <xf numFmtId="0" fontId="40" fillId="7" borderId="20" xfId="0" applyFont="1" applyFill="1" applyBorder="1" applyAlignment="1">
      <alignment horizontal="center" vertical="center"/>
    </xf>
    <xf numFmtId="0" fontId="40" fillId="7" borderId="20" xfId="0" applyFont="1" applyFill="1" applyBorder="1" applyAlignment="1">
      <alignment horizontal="left" vertical="center"/>
    </xf>
    <xf numFmtId="164" fontId="40" fillId="0" borderId="20" xfId="0" applyNumberFormat="1" applyFont="1" applyBorder="1" applyAlignment="1">
      <alignment horizontal="left" vertical="center"/>
    </xf>
    <xf numFmtId="164" fontId="40" fillId="0" borderId="20" xfId="0" applyNumberFormat="1" applyFont="1" applyBorder="1" applyAlignment="1">
      <alignment horizontal="left" vertical="center" wrapText="1"/>
    </xf>
    <xf numFmtId="0" fontId="39" fillId="0" borderId="20" xfId="0" applyFont="1" applyBorder="1" applyAlignment="1">
      <alignment horizontal="center" vertical="center"/>
    </xf>
    <xf numFmtId="171" fontId="36" fillId="0" borderId="0" xfId="0" applyNumberFormat="1" applyFont="1" applyAlignment="1">
      <alignment shrinkToFit="1"/>
    </xf>
    <xf numFmtId="0" fontId="39" fillId="11" borderId="20" xfId="0" applyFont="1" applyFill="1" applyBorder="1"/>
    <xf numFmtId="0" fontId="31" fillId="0" borderId="0" xfId="6" applyFont="1"/>
    <xf numFmtId="0" fontId="44" fillId="0" borderId="0" xfId="6" applyFont="1" applyAlignment="1">
      <alignment vertical="center" wrapText="1"/>
    </xf>
    <xf numFmtId="0" fontId="30" fillId="0" borderId="0" xfId="0" applyFont="1"/>
    <xf numFmtId="0" fontId="46" fillId="0" borderId="0" xfId="6" applyFont="1" applyAlignment="1">
      <alignment horizontal="center"/>
    </xf>
    <xf numFmtId="0" fontId="31" fillId="0" borderId="1" xfId="6" applyFont="1" applyBorder="1" applyAlignment="1">
      <alignment vertical="center"/>
    </xf>
    <xf numFmtId="168" fontId="31" fillId="0" borderId="1" xfId="6" applyNumberFormat="1" applyFont="1" applyBorder="1" applyAlignment="1">
      <alignment vertical="center"/>
    </xf>
    <xf numFmtId="0" fontId="31" fillId="0" borderId="0" xfId="6" applyFont="1" applyAlignment="1">
      <alignment vertical="center"/>
    </xf>
    <xf numFmtId="168" fontId="42" fillId="0" borderId="1" xfId="6" applyNumberFormat="1" applyFont="1" applyBorder="1" applyAlignment="1">
      <alignment vertical="center"/>
    </xf>
    <xf numFmtId="0" fontId="47" fillId="7" borderId="1" xfId="6" applyFont="1" applyFill="1" applyBorder="1" applyAlignment="1">
      <alignment horizontal="right" vertical="center" wrapText="1"/>
    </xf>
    <xf numFmtId="168" fontId="47" fillId="7" borderId="1" xfId="6" applyNumberFormat="1" applyFont="1" applyFill="1" applyBorder="1" applyAlignment="1">
      <alignment vertical="center"/>
    </xf>
    <xf numFmtId="168" fontId="31" fillId="0" borderId="0" xfId="6" applyNumberFormat="1" applyFont="1" applyAlignment="1">
      <alignment vertical="center"/>
    </xf>
    <xf numFmtId="0" fontId="32" fillId="0" borderId="22" xfId="0" applyFont="1" applyBorder="1"/>
    <xf numFmtId="0" fontId="32" fillId="0" borderId="18" xfId="0" applyFont="1" applyBorder="1"/>
    <xf numFmtId="0" fontId="36" fillId="0" borderId="0" xfId="0" applyFont="1"/>
    <xf numFmtId="0" fontId="37" fillId="0" borderId="0" xfId="0" applyFont="1" applyAlignment="1">
      <alignment wrapText="1"/>
    </xf>
    <xf numFmtId="0" fontId="33" fillId="11" borderId="17" xfId="0" applyFont="1" applyFill="1" applyBorder="1" applyAlignment="1">
      <alignment horizontal="center"/>
    </xf>
    <xf numFmtId="0" fontId="33" fillId="11" borderId="18" xfId="0" applyFont="1" applyFill="1" applyBorder="1" applyAlignment="1">
      <alignment horizontal="center"/>
    </xf>
    <xf numFmtId="0" fontId="33" fillId="11" borderId="19" xfId="0" applyFont="1" applyFill="1" applyBorder="1" applyAlignment="1">
      <alignment horizontal="center"/>
    </xf>
    <xf numFmtId="0" fontId="32" fillId="0" borderId="21" xfId="0" applyFont="1" applyBorder="1" applyAlignment="1">
      <alignment vertical="top" wrapText="1"/>
    </xf>
    <xf numFmtId="0" fontId="32" fillId="0" borderId="22" xfId="0" applyFont="1" applyBorder="1" applyAlignment="1">
      <alignment vertical="top" wrapText="1"/>
    </xf>
    <xf numFmtId="0" fontId="40" fillId="7" borderId="20" xfId="0" applyFont="1" applyFill="1" applyBorder="1" applyAlignment="1">
      <alignment horizontal="left" vertical="center"/>
    </xf>
    <xf numFmtId="164" fontId="41" fillId="0" borderId="20" xfId="0" applyNumberFormat="1" applyFont="1" applyBorder="1" applyAlignment="1">
      <alignment horizontal="center" vertical="center"/>
    </xf>
    <xf numFmtId="164" fontId="41" fillId="0" borderId="20" xfId="2" applyFont="1" applyBorder="1" applyAlignment="1" applyProtection="1">
      <alignment horizontal="center" vertical="center"/>
    </xf>
    <xf numFmtId="0" fontId="41" fillId="7" borderId="20" xfId="0" applyFont="1" applyFill="1" applyBorder="1" applyAlignment="1">
      <alignment horizontal="left" vertical="center"/>
    </xf>
    <xf numFmtId="0" fontId="5" fillId="2" borderId="0" xfId="7" applyFont="1" applyFill="1" applyBorder="1" applyAlignment="1">
      <alignment horizontal="center"/>
    </xf>
    <xf numFmtId="0" fontId="6" fillId="3" borderId="0" xfId="7" applyFont="1" applyFill="1" applyBorder="1" applyAlignment="1">
      <alignment horizontal="center" vertical="center"/>
    </xf>
    <xf numFmtId="0" fontId="2" fillId="0" borderId="1" xfId="7" applyFont="1" applyBorder="1" applyAlignment="1">
      <alignment horizontal="center"/>
    </xf>
    <xf numFmtId="164" fontId="2" fillId="10" borderId="1" xfId="2" applyFont="1" applyFill="1" applyBorder="1" applyAlignment="1" applyProtection="1">
      <alignment horizontal="center"/>
    </xf>
    <xf numFmtId="0" fontId="2" fillId="10" borderId="1" xfId="7" applyFont="1" applyFill="1" applyBorder="1" applyAlignment="1">
      <alignment horizontal="center"/>
    </xf>
    <xf numFmtId="0" fontId="6" fillId="0" borderId="1" xfId="7" applyFont="1" applyBorder="1" applyAlignment="1">
      <alignment horizontal="center" vertical="center" wrapText="1"/>
    </xf>
    <xf numFmtId="0" fontId="2" fillId="0" borderId="1" xfId="7" applyFont="1" applyBorder="1" applyAlignment="1">
      <alignment vertical="center" wrapText="1"/>
    </xf>
    <xf numFmtId="0" fontId="6" fillId="4" borderId="0" xfId="7" applyFont="1" applyFill="1" applyBorder="1" applyAlignment="1">
      <alignment horizontal="center" vertical="center"/>
    </xf>
    <xf numFmtId="0" fontId="6" fillId="4" borderId="0" xfId="7" applyFont="1" applyFill="1" applyBorder="1" applyAlignment="1">
      <alignment horizontal="center" vertical="center" wrapText="1"/>
    </xf>
    <xf numFmtId="0" fontId="6" fillId="0" borderId="1" xfId="7" applyFont="1" applyBorder="1" applyAlignment="1">
      <alignment horizontal="left" vertical="center" wrapText="1"/>
    </xf>
    <xf numFmtId="0" fontId="6" fillId="0" borderId="1" xfId="7" applyFont="1" applyBorder="1" applyAlignment="1">
      <alignment vertical="center" wrapText="1"/>
    </xf>
    <xf numFmtId="0" fontId="6" fillId="0" borderId="2" xfId="7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8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top"/>
    </xf>
    <xf numFmtId="0" fontId="12" fillId="6" borderId="1" xfId="0" applyFont="1" applyFill="1" applyBorder="1" applyAlignment="1">
      <alignment horizontal="justify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6" fillId="0" borderId="0" xfId="6" applyFont="1" applyBorder="1" applyAlignment="1">
      <alignment horizontal="center"/>
    </xf>
    <xf numFmtId="0" fontId="19" fillId="0" borderId="0" xfId="6" applyFont="1" applyBorder="1" applyAlignment="1">
      <alignment horizontal="center"/>
    </xf>
    <xf numFmtId="0" fontId="16" fillId="0" borderId="5" xfId="6" applyFont="1" applyBorder="1" applyAlignment="1">
      <alignment horizontal="center" vertical="center"/>
    </xf>
    <xf numFmtId="0" fontId="15" fillId="0" borderId="1" xfId="6" applyFont="1" applyBorder="1" applyAlignment="1">
      <alignment horizontal="left" vertical="center"/>
    </xf>
    <xf numFmtId="0" fontId="16" fillId="0" borderId="1" xfId="6" applyFont="1" applyBorder="1" applyAlignment="1">
      <alignment horizontal="center" vertical="center"/>
    </xf>
    <xf numFmtId="0" fontId="44" fillId="0" borderId="0" xfId="6" applyFont="1" applyBorder="1" applyAlignment="1">
      <alignment horizontal="center" vertical="center" wrapText="1"/>
    </xf>
    <xf numFmtId="0" fontId="45" fillId="0" borderId="0" xfId="6" applyFont="1" applyBorder="1" applyAlignment="1">
      <alignment horizontal="center"/>
    </xf>
    <xf numFmtId="0" fontId="43" fillId="0" borderId="0" xfId="6" applyFont="1" applyAlignment="1">
      <alignment horizontal="center"/>
    </xf>
  </cellXfs>
  <cellStyles count="19">
    <cellStyle name="Moeda" xfId="2" builtinId="4"/>
    <cellStyle name="Moeda 2" xfId="4"/>
    <cellStyle name="Normal" xfId="0" builtinId="0"/>
    <cellStyle name="Normal 2" xfId="5"/>
    <cellStyle name="Normal 3" xfId="6"/>
    <cellStyle name="Normal 4" xfId="7"/>
    <cellStyle name="Porcentagem" xfId="3" builtinId="5"/>
    <cellStyle name="Porcentagem 2" xfId="8"/>
    <cellStyle name="Porcentagem 3" xfId="9"/>
    <cellStyle name="Porcentagem 4" xfId="10"/>
    <cellStyle name="Vírgula" xfId="1" builtinId="3"/>
    <cellStyle name="Vírgula 2" xfId="11"/>
    <cellStyle name="Vírgula 3" xfId="12"/>
    <cellStyle name="Vírgula 3 2" xfId="13"/>
    <cellStyle name="Vírgula 4" xfId="14"/>
    <cellStyle name="Vírgula 4 2" xfId="15"/>
    <cellStyle name="Vírgula 5" xfId="16"/>
    <cellStyle name="Vírgula 5 2" xfId="17"/>
    <cellStyle name="Vírgula 6" xfId="18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FBFBF"/>
      <rgbColor rgb="FFFF99CC"/>
      <rgbColor rgb="FFCC99FF"/>
      <rgbColor rgb="FFE6B9B8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1504950</xdr:colOff>
      <xdr:row>0</xdr:row>
      <xdr:rowOff>0</xdr:rowOff>
    </xdr:from>
    <xdr:to>
      <xdr:col>5</xdr:col>
      <xdr:colOff>142875</xdr:colOff>
      <xdr:row>6</xdr:row>
      <xdr:rowOff>57150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6025" y="0"/>
          <a:ext cx="3305175" cy="1219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showGridLines="0" tabSelected="1" view="pageBreakPreview" zoomScaleNormal="100" zoomScaleSheetLayoutView="100" workbookViewId="0">
      <selection activeCell="F4" sqref="F4"/>
    </sheetView>
  </sheetViews>
  <sheetFormatPr defaultColWidth="8.6640625" defaultRowHeight="12.75" x14ac:dyDescent="0.2"/>
  <cols>
    <col min="1" max="1" width="17.1640625" customWidth="1"/>
    <col min="2" max="2" width="44.83203125" customWidth="1"/>
    <col min="3" max="3" width="18.83203125" customWidth="1"/>
    <col min="4" max="4" width="18" customWidth="1"/>
    <col min="5" max="5" width="1" hidden="1" customWidth="1"/>
    <col min="6" max="6" width="23" customWidth="1"/>
    <col min="7" max="7" width="21.6640625" customWidth="1"/>
    <col min="8" max="8" width="3.33203125" customWidth="1"/>
    <col min="9" max="9" width="5.83203125" customWidth="1"/>
    <col min="10" max="10" width="27.1640625" customWidth="1"/>
    <col min="11" max="11" width="3.33203125" customWidth="1"/>
    <col min="12" max="12" width="2.1640625" customWidth="1"/>
    <col min="13" max="14" width="1.1640625" customWidth="1"/>
    <col min="15" max="15" width="5.83203125" customWidth="1"/>
    <col min="16" max="16" width="1.1640625" customWidth="1"/>
    <col min="17" max="17" width="2.1640625" customWidth="1"/>
    <col min="18" max="18" width="4.6640625" customWidth="1"/>
    <col min="19" max="19" width="2.1640625" customWidth="1"/>
    <col min="20" max="21" width="1.1640625" customWidth="1"/>
    <col min="22" max="22" width="16.33203125" customWidth="1"/>
    <col min="23" max="23" width="10.5" customWidth="1"/>
  </cols>
  <sheetData>
    <row r="1" spans="1:11" ht="14.25" x14ac:dyDescent="0.2">
      <c r="A1" s="144"/>
      <c r="B1" s="144"/>
      <c r="C1" s="144"/>
      <c r="D1" s="144"/>
      <c r="E1" s="144"/>
      <c r="F1" s="144"/>
      <c r="G1" s="144"/>
    </row>
    <row r="2" spans="1:11" ht="15.75" x14ac:dyDescent="0.2">
      <c r="A2" s="144"/>
      <c r="B2" s="144"/>
      <c r="C2" s="144"/>
      <c r="D2" s="144"/>
      <c r="E2" s="144"/>
      <c r="F2" s="144"/>
      <c r="G2" s="144"/>
      <c r="H2" s="40"/>
      <c r="I2" s="40"/>
      <c r="J2" s="40"/>
      <c r="K2" s="40"/>
    </row>
    <row r="3" spans="1:11" ht="15.75" x14ac:dyDescent="0.2">
      <c r="A3" s="144"/>
      <c r="B3" s="144"/>
      <c r="C3" s="144"/>
      <c r="D3" s="144"/>
      <c r="E3" s="144"/>
      <c r="F3" s="144"/>
      <c r="G3" s="144"/>
      <c r="H3" s="40"/>
      <c r="I3" s="40"/>
      <c r="J3" s="40"/>
      <c r="K3" s="40"/>
    </row>
    <row r="4" spans="1:11" ht="15.75" x14ac:dyDescent="0.2">
      <c r="A4" s="144"/>
      <c r="B4" s="144"/>
      <c r="C4" s="144"/>
      <c r="D4" s="144"/>
      <c r="E4" s="144"/>
      <c r="F4" s="144"/>
      <c r="G4" s="144"/>
      <c r="H4" s="40"/>
      <c r="I4" s="40"/>
      <c r="J4" s="40"/>
      <c r="K4" s="40"/>
    </row>
    <row r="5" spans="1:11" ht="15.75" x14ac:dyDescent="0.2">
      <c r="A5" s="144"/>
      <c r="B5" s="144"/>
      <c r="C5" s="144"/>
      <c r="D5" s="144"/>
      <c r="E5" s="144"/>
      <c r="F5" s="144"/>
      <c r="G5" s="144"/>
      <c r="H5" s="40"/>
      <c r="I5" s="40"/>
      <c r="J5" s="40"/>
      <c r="K5" s="40"/>
    </row>
    <row r="6" spans="1:11" ht="14.25" x14ac:dyDescent="0.2">
      <c r="A6" s="144"/>
      <c r="B6" s="144"/>
      <c r="C6" s="144"/>
      <c r="D6" s="144"/>
      <c r="E6" s="144"/>
      <c r="F6" s="144"/>
      <c r="G6" s="144"/>
      <c r="J6" s="41"/>
    </row>
    <row r="7" spans="1:11" ht="14.25" x14ac:dyDescent="0.2">
      <c r="A7" s="144"/>
      <c r="B7" s="144"/>
      <c r="C7" s="144"/>
      <c r="D7" s="144"/>
      <c r="E7" s="144"/>
      <c r="F7" s="144"/>
      <c r="G7" s="144"/>
    </row>
    <row r="8" spans="1:11" ht="15" x14ac:dyDescent="0.25">
      <c r="A8" s="186" t="s">
        <v>186</v>
      </c>
      <c r="B8" s="187"/>
      <c r="C8" s="187"/>
      <c r="D8" s="187"/>
      <c r="E8" s="187"/>
      <c r="F8" s="187"/>
      <c r="G8" s="188"/>
    </row>
    <row r="9" spans="1:11" ht="14.25" x14ac:dyDescent="0.2">
      <c r="A9" s="144"/>
      <c r="B9" s="144"/>
      <c r="C9" s="144"/>
      <c r="D9" s="144"/>
      <c r="E9" s="144"/>
      <c r="F9" s="144"/>
      <c r="G9" s="144"/>
    </row>
    <row r="10" spans="1:11" ht="45" customHeight="1" x14ac:dyDescent="0.2">
      <c r="A10" s="145" t="s">
        <v>187</v>
      </c>
      <c r="B10" s="189" t="s">
        <v>209</v>
      </c>
      <c r="C10" s="190"/>
      <c r="D10" s="190"/>
      <c r="E10" s="190"/>
      <c r="F10" s="190"/>
      <c r="G10" s="190"/>
    </row>
    <row r="11" spans="1:11" ht="15" x14ac:dyDescent="0.25">
      <c r="A11" s="146"/>
      <c r="B11" s="147" t="s">
        <v>188</v>
      </c>
      <c r="C11" s="148"/>
      <c r="D11" s="148"/>
      <c r="E11" s="148"/>
      <c r="F11" s="148"/>
      <c r="G11" s="148"/>
    </row>
    <row r="12" spans="1:11" ht="14.25" x14ac:dyDescent="0.2">
      <c r="A12" s="145" t="s">
        <v>189</v>
      </c>
      <c r="B12" s="182"/>
      <c r="C12" s="182"/>
      <c r="D12" s="182"/>
      <c r="E12" s="182"/>
      <c r="F12" s="182"/>
      <c r="G12" s="182"/>
    </row>
    <row r="13" spans="1:11" ht="14.25" x14ac:dyDescent="0.2">
      <c r="A13" s="145" t="s">
        <v>190</v>
      </c>
      <c r="B13" s="182"/>
      <c r="C13" s="182"/>
      <c r="D13" s="182"/>
      <c r="E13" s="182"/>
      <c r="F13" s="182"/>
      <c r="G13" s="182"/>
    </row>
    <row r="14" spans="1:11" ht="14.25" x14ac:dyDescent="0.2">
      <c r="A14" s="145" t="s">
        <v>191</v>
      </c>
      <c r="B14" s="182"/>
      <c r="C14" s="182"/>
      <c r="D14" s="182"/>
      <c r="E14" s="182"/>
      <c r="F14" s="182"/>
      <c r="G14" s="182"/>
    </row>
    <row r="15" spans="1:11" ht="14.25" x14ac:dyDescent="0.2">
      <c r="A15" s="145" t="s">
        <v>192</v>
      </c>
      <c r="B15" s="183"/>
      <c r="C15" s="183"/>
      <c r="D15" s="183"/>
      <c r="E15" s="183"/>
      <c r="F15" s="183"/>
      <c r="G15" s="183"/>
    </row>
    <row r="16" spans="1:11" ht="14.25" x14ac:dyDescent="0.2">
      <c r="A16" s="149" t="s">
        <v>193</v>
      </c>
      <c r="B16" s="182"/>
      <c r="C16" s="182"/>
      <c r="D16" s="182"/>
      <c r="E16" s="182"/>
      <c r="F16" s="182"/>
      <c r="G16" s="182"/>
    </row>
    <row r="17" spans="1:8" ht="14.25" x14ac:dyDescent="0.2">
      <c r="A17" s="144"/>
      <c r="B17" s="144"/>
      <c r="C17" s="144"/>
      <c r="D17" s="144"/>
      <c r="E17" s="144"/>
      <c r="F17" s="144"/>
      <c r="G17" s="144"/>
    </row>
    <row r="19" spans="1:8" x14ac:dyDescent="0.2">
      <c r="A19" s="156" t="s">
        <v>200</v>
      </c>
      <c r="B19" s="156" t="s">
        <v>201</v>
      </c>
      <c r="C19" s="156" t="s">
        <v>202</v>
      </c>
      <c r="D19" s="156" t="s">
        <v>203</v>
      </c>
      <c r="E19" s="156"/>
      <c r="F19" s="156" t="s">
        <v>204</v>
      </c>
      <c r="G19" s="156" t="s">
        <v>205</v>
      </c>
    </row>
    <row r="20" spans="1:8" x14ac:dyDescent="0.2">
      <c r="A20" s="168">
        <v>1</v>
      </c>
      <c r="B20" s="157" t="str">
        <f>engeletr.arq!C5</f>
        <v>Engenheiro Eletricista ou Arquiteto</v>
      </c>
      <c r="C20" s="158">
        <v>2</v>
      </c>
      <c r="D20" s="192">
        <f>ROUND((engeletr.arq!D141),2)</f>
        <v>24775.63</v>
      </c>
      <c r="E20" s="192"/>
      <c r="F20" s="159">
        <f>D20*C20</f>
        <v>49551.26</v>
      </c>
      <c r="G20" s="160">
        <f>F20*6</f>
        <v>297307.56</v>
      </c>
      <c r="H20" s="41"/>
    </row>
    <row r="21" spans="1:8" x14ac:dyDescent="0.2">
      <c r="A21" s="168">
        <v>2</v>
      </c>
      <c r="B21" s="157" t="str">
        <f>engcivil.arq!C5</f>
        <v>Engenheiro Civil e/ou Arquiteto</v>
      </c>
      <c r="C21" s="158">
        <v>4</v>
      </c>
      <c r="D21" s="161">
        <f>ROUND((engcivil.arq!D141),2)</f>
        <v>24775.63</v>
      </c>
      <c r="E21" s="161"/>
      <c r="F21" s="159">
        <f t="shared" ref="F21:F22" si="0">D21*C21</f>
        <v>99102.52</v>
      </c>
      <c r="G21" s="160">
        <f t="shared" ref="G21:G22" si="1">F21*6</f>
        <v>594615.12</v>
      </c>
    </row>
    <row r="22" spans="1:8" x14ac:dyDescent="0.2">
      <c r="A22" s="168">
        <v>3</v>
      </c>
      <c r="B22" s="157" t="str">
        <f>engmec!C5</f>
        <v>Engenheiro Mecânico</v>
      </c>
      <c r="C22" s="158">
        <v>1</v>
      </c>
      <c r="D22" s="161">
        <f>ROUND((engmec!D141),2)</f>
        <v>24775.63</v>
      </c>
      <c r="E22" s="161"/>
      <c r="F22" s="159">
        <f t="shared" si="0"/>
        <v>24775.63</v>
      </c>
      <c r="G22" s="160">
        <f t="shared" si="1"/>
        <v>148653.78</v>
      </c>
    </row>
    <row r="23" spans="1:8" x14ac:dyDescent="0.2">
      <c r="A23" s="168">
        <v>4</v>
      </c>
      <c r="B23" s="157" t="s">
        <v>207</v>
      </c>
      <c r="C23" s="158">
        <v>150</v>
      </c>
      <c r="D23" s="193">
        <f>ROUND((DESLOC.MÉDIO!B11),2)</f>
        <v>651.75</v>
      </c>
      <c r="E23" s="193"/>
      <c r="F23" s="162"/>
      <c r="G23" s="160">
        <f>D23*C23</f>
        <v>97762.5</v>
      </c>
    </row>
    <row r="24" spans="1:8" x14ac:dyDescent="0.2">
      <c r="A24" s="168">
        <v>5</v>
      </c>
      <c r="B24" s="157" t="s">
        <v>208</v>
      </c>
      <c r="C24" s="163"/>
      <c r="D24" s="194"/>
      <c r="E24" s="194"/>
      <c r="F24" s="162"/>
      <c r="G24" s="160">
        <f>'Hora extra'!G9</f>
        <v>142628.86138442153</v>
      </c>
    </row>
    <row r="25" spans="1:8" x14ac:dyDescent="0.2">
      <c r="A25" s="170"/>
      <c r="B25" s="191" t="s">
        <v>121</v>
      </c>
      <c r="C25" s="191"/>
      <c r="D25" s="164"/>
      <c r="E25" s="165"/>
      <c r="F25" s="166">
        <f>SUM(F20:F24)</f>
        <v>173429.41</v>
      </c>
      <c r="G25" s="167">
        <f>SUM(G20:G24)</f>
        <v>1280967.8213844215</v>
      </c>
    </row>
    <row r="26" spans="1:8" x14ac:dyDescent="0.2">
      <c r="B26" s="154"/>
      <c r="C26" s="154"/>
      <c r="D26" s="154"/>
      <c r="E26" s="154"/>
      <c r="F26" s="154"/>
      <c r="G26" s="155"/>
    </row>
    <row r="28" spans="1:8" ht="14.25" x14ac:dyDescent="0.2">
      <c r="A28" s="144"/>
      <c r="B28" s="144"/>
      <c r="C28" s="144"/>
      <c r="D28" s="144"/>
      <c r="E28" s="184" t="s">
        <v>206</v>
      </c>
      <c r="F28" s="184"/>
      <c r="G28" s="169">
        <f>G25</f>
        <v>1280967.8213844215</v>
      </c>
    </row>
    <row r="29" spans="1:8" ht="14.25" x14ac:dyDescent="0.2">
      <c r="A29" s="144"/>
      <c r="B29" s="144"/>
      <c r="C29" s="144"/>
      <c r="D29" s="144"/>
      <c r="E29" s="144"/>
      <c r="F29" s="144"/>
      <c r="G29" s="144"/>
    </row>
    <row r="30" spans="1:8" x14ac:dyDescent="0.2">
      <c r="A30" s="185" t="s">
        <v>194</v>
      </c>
      <c r="B30" s="185"/>
      <c r="C30" s="185"/>
      <c r="D30" s="185"/>
      <c r="E30" s="185"/>
      <c r="F30" s="185"/>
      <c r="G30" s="185"/>
    </row>
    <row r="31" spans="1:8" ht="14.25" x14ac:dyDescent="0.2">
      <c r="A31" s="151" t="s">
        <v>195</v>
      </c>
      <c r="B31" s="144"/>
      <c r="C31" s="144"/>
      <c r="D31" s="144"/>
      <c r="E31" s="144"/>
      <c r="F31" s="144"/>
      <c r="G31" s="144"/>
    </row>
    <row r="32" spans="1:8" ht="14.25" x14ac:dyDescent="0.2">
      <c r="A32" s="144"/>
      <c r="B32" s="144"/>
      <c r="C32" s="144"/>
      <c r="D32" s="144"/>
      <c r="E32" s="144"/>
      <c r="F32" s="144"/>
      <c r="G32" s="144"/>
    </row>
    <row r="33" spans="1:7" ht="14.25" x14ac:dyDescent="0.2">
      <c r="A33" s="144"/>
      <c r="B33" s="150"/>
      <c r="C33" s="144"/>
      <c r="D33" s="150"/>
      <c r="E33" s="144"/>
      <c r="F33" s="144"/>
      <c r="G33" s="144"/>
    </row>
    <row r="34" spans="1:7" ht="14.25" x14ac:dyDescent="0.2">
      <c r="A34" s="144"/>
      <c r="B34" s="152" t="s">
        <v>196</v>
      </c>
      <c r="C34" s="144"/>
      <c r="D34" s="152" t="s">
        <v>197</v>
      </c>
      <c r="E34" s="144"/>
      <c r="F34" s="144"/>
      <c r="G34" s="144"/>
    </row>
    <row r="35" spans="1:7" ht="14.25" x14ac:dyDescent="0.2">
      <c r="A35" s="144"/>
      <c r="B35" s="144"/>
      <c r="C35" s="144"/>
      <c r="D35" s="144"/>
      <c r="E35" s="144"/>
      <c r="F35" s="144"/>
      <c r="G35" s="144"/>
    </row>
    <row r="36" spans="1:7" ht="14.25" x14ac:dyDescent="0.2">
      <c r="A36" s="151" t="s">
        <v>198</v>
      </c>
      <c r="B36" s="182"/>
      <c r="C36" s="182"/>
      <c r="D36" s="182"/>
      <c r="E36" s="182"/>
      <c r="F36" s="182"/>
      <c r="G36" s="182"/>
    </row>
    <row r="37" spans="1:7" ht="14.25" x14ac:dyDescent="0.2">
      <c r="A37" s="153" t="s">
        <v>199</v>
      </c>
      <c r="B37" s="182"/>
      <c r="C37" s="182"/>
      <c r="D37" s="182"/>
      <c r="E37" s="182"/>
      <c r="F37" s="182"/>
      <c r="G37" s="182"/>
    </row>
  </sheetData>
  <mergeCells count="15">
    <mergeCell ref="A8:G8"/>
    <mergeCell ref="B10:G10"/>
    <mergeCell ref="B12:G12"/>
    <mergeCell ref="B13:G13"/>
    <mergeCell ref="B14:G14"/>
    <mergeCell ref="B37:G37"/>
    <mergeCell ref="B15:G15"/>
    <mergeCell ref="B16:G16"/>
    <mergeCell ref="E28:F28"/>
    <mergeCell ref="A30:G30"/>
    <mergeCell ref="B36:G36"/>
    <mergeCell ref="B25:C25"/>
    <mergeCell ref="D20:E20"/>
    <mergeCell ref="D23:E23"/>
    <mergeCell ref="D24:E24"/>
  </mergeCells>
  <pageMargins left="0.51180555555555496" right="0.51180555555555496" top="0.78749999999999998" bottom="0.78749999999999998" header="0.51180555555555496" footer="0.51180555555555496"/>
  <pageSetup paperSize="9" scale="71" firstPageNumber="0" fitToHeight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4"/>
  <sheetViews>
    <sheetView view="pageBreakPreview" topLeftCell="A16" zoomScaleNormal="140" workbookViewId="0">
      <selection activeCell="E19" sqref="E19:E40"/>
    </sheetView>
  </sheetViews>
  <sheetFormatPr defaultColWidth="8.6640625" defaultRowHeight="12.75" x14ac:dyDescent="0.2"/>
  <cols>
    <col min="1" max="1" width="18.33203125" style="42" customWidth="1"/>
    <col min="2" max="2" width="9.6640625" style="42" customWidth="1"/>
    <col min="3" max="3" width="9.5" style="42" customWidth="1"/>
    <col min="4" max="4" width="9.5" style="43" customWidth="1"/>
    <col min="5" max="5" width="9.6640625" style="44" customWidth="1"/>
    <col min="6" max="6" width="10" style="45" customWidth="1"/>
    <col min="7" max="7" width="10.1640625" style="46" customWidth="1"/>
    <col min="8" max="8" width="9.5" style="46" customWidth="1"/>
    <col min="9" max="9" width="9.83203125" style="46" customWidth="1"/>
    <col min="10" max="10" width="12.5" style="46" customWidth="1"/>
    <col min="11" max="11" width="10.5" style="42" customWidth="1"/>
    <col min="12" max="12" width="10.83203125" style="42" customWidth="1"/>
    <col min="13" max="13" width="12.33203125" style="42" customWidth="1"/>
    <col min="14" max="14" width="10.83203125" style="47" customWidth="1"/>
    <col min="15" max="15" width="14.1640625" style="48" customWidth="1"/>
    <col min="16" max="16" width="6.1640625" style="49" customWidth="1"/>
    <col min="17" max="17" width="16.83203125" style="50" customWidth="1"/>
    <col min="18" max="1024" width="8.6640625" style="42"/>
  </cols>
  <sheetData>
    <row r="1" spans="1:17" x14ac:dyDescent="0.2">
      <c r="A1" s="216" t="s">
        <v>122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51"/>
      <c r="Q1" s="52"/>
    </row>
    <row r="2" spans="1:17" x14ac:dyDescent="0.2">
      <c r="A2" s="217" t="s">
        <v>161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51"/>
      <c r="Q2" s="52"/>
    </row>
    <row r="3" spans="1:17" x14ac:dyDescent="0.2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7" s="55" customFormat="1" ht="11.25" x14ac:dyDescent="0.2">
      <c r="A4" s="127" t="s">
        <v>159</v>
      </c>
      <c r="B4" s="53"/>
      <c r="C4" s="53"/>
      <c r="D4" s="53"/>
      <c r="E4" s="53"/>
      <c r="F4" s="53"/>
      <c r="G4" s="54"/>
      <c r="H4" s="54"/>
      <c r="I4" s="54"/>
      <c r="J4" s="54"/>
      <c r="N4" s="47"/>
      <c r="O4" s="47"/>
      <c r="P4" s="56"/>
      <c r="Q4" s="57"/>
    </row>
    <row r="5" spans="1:17" x14ac:dyDescent="0.2">
      <c r="A5" s="128" t="s">
        <v>125</v>
      </c>
      <c r="B5" s="129"/>
      <c r="C5" s="129"/>
      <c r="D5" s="129"/>
      <c r="E5" s="130"/>
      <c r="F5" s="58">
        <v>80</v>
      </c>
    </row>
    <row r="6" spans="1:17" x14ac:dyDescent="0.2">
      <c r="A6" s="128" t="s">
        <v>126</v>
      </c>
      <c r="B6" s="129"/>
      <c r="C6" s="129"/>
      <c r="D6" s="129"/>
      <c r="E6" s="130"/>
      <c r="F6" s="58">
        <v>4</v>
      </c>
    </row>
    <row r="7" spans="1:17" x14ac:dyDescent="0.2">
      <c r="A7" s="128" t="s">
        <v>127</v>
      </c>
      <c r="B7" s="129"/>
      <c r="C7" s="129"/>
      <c r="D7" s="129"/>
      <c r="E7" s="130"/>
      <c r="F7" s="58">
        <v>90</v>
      </c>
    </row>
    <row r="8" spans="1:17" x14ac:dyDescent="0.2">
      <c r="A8" s="128" t="s">
        <v>128</v>
      </c>
      <c r="B8" s="129"/>
      <c r="C8" s="129"/>
      <c r="D8" s="129"/>
      <c r="E8" s="130"/>
      <c r="F8" s="59" t="s">
        <v>129</v>
      </c>
    </row>
    <row r="9" spans="1:17" x14ac:dyDescent="0.2">
      <c r="A9" s="128" t="s">
        <v>130</v>
      </c>
      <c r="B9" s="129"/>
      <c r="C9" s="129"/>
      <c r="D9" s="129"/>
      <c r="E9" s="130"/>
      <c r="F9" s="60">
        <v>7.2140000000000004</v>
      </c>
    </row>
    <row r="10" spans="1:17" x14ac:dyDescent="0.2">
      <c r="A10" s="128" t="s">
        <v>131</v>
      </c>
      <c r="B10" s="129"/>
      <c r="C10" s="129"/>
      <c r="D10" s="129"/>
      <c r="E10" s="130"/>
      <c r="F10" s="58">
        <v>10</v>
      </c>
    </row>
    <row r="11" spans="1:17" x14ac:dyDescent="0.2">
      <c r="A11" s="128" t="s">
        <v>132</v>
      </c>
      <c r="B11" s="129"/>
      <c r="C11" s="129"/>
      <c r="D11" s="129"/>
      <c r="E11" s="130"/>
      <c r="F11" s="61">
        <v>200</v>
      </c>
    </row>
    <row r="12" spans="1:17" s="55" customFormat="1" ht="11.25" x14ac:dyDescent="0.2">
      <c r="G12" s="54"/>
      <c r="H12" s="54"/>
      <c r="I12" s="54"/>
      <c r="J12" s="54"/>
      <c r="N12" s="47"/>
      <c r="O12" s="47"/>
      <c r="P12" s="56"/>
      <c r="Q12" s="57"/>
    </row>
    <row r="14" spans="1:17" x14ac:dyDescent="0.2">
      <c r="A14" s="63"/>
      <c r="B14" s="63"/>
      <c r="C14" s="63"/>
    </row>
    <row r="15" spans="1:17" x14ac:dyDescent="0.2">
      <c r="A15" s="63"/>
      <c r="B15" s="63"/>
      <c r="C15" s="63"/>
    </row>
    <row r="16" spans="1:17" s="74" customFormat="1" ht="112.5" x14ac:dyDescent="0.2">
      <c r="A16" s="64" t="s">
        <v>133</v>
      </c>
      <c r="B16" s="122" t="s">
        <v>156</v>
      </c>
      <c r="C16" s="65" t="s">
        <v>135</v>
      </c>
      <c r="D16" s="66" t="s">
        <v>136</v>
      </c>
      <c r="E16" s="123" t="s">
        <v>162</v>
      </c>
      <c r="F16" s="68" t="s">
        <v>138</v>
      </c>
      <c r="G16" s="69" t="s">
        <v>139</v>
      </c>
      <c r="H16" s="69" t="s">
        <v>140</v>
      </c>
      <c r="I16" s="69" t="s">
        <v>141</v>
      </c>
      <c r="J16" s="65" t="s">
        <v>142</v>
      </c>
      <c r="K16" s="65" t="s">
        <v>143</v>
      </c>
      <c r="L16" s="65" t="s">
        <v>144</v>
      </c>
      <c r="M16" s="65" t="s">
        <v>145</v>
      </c>
      <c r="N16" s="70" t="s">
        <v>146</v>
      </c>
      <c r="O16" s="71" t="s">
        <v>147</v>
      </c>
      <c r="P16" s="72"/>
      <c r="Q16" s="73" t="s">
        <v>148</v>
      </c>
    </row>
    <row r="17" spans="1:18" s="84" customFormat="1" ht="11.25" x14ac:dyDescent="0.2">
      <c r="A17" s="75" t="s">
        <v>149</v>
      </c>
      <c r="B17" s="76" t="s">
        <v>149</v>
      </c>
      <c r="C17" s="76" t="s">
        <v>150</v>
      </c>
      <c r="D17" s="77" t="s">
        <v>151</v>
      </c>
      <c r="E17" s="78" t="s">
        <v>151</v>
      </c>
      <c r="F17" s="79" t="s">
        <v>151</v>
      </c>
      <c r="G17" s="77" t="s">
        <v>152</v>
      </c>
      <c r="H17" s="77" t="s">
        <v>153</v>
      </c>
      <c r="I17" s="76" t="s">
        <v>153</v>
      </c>
      <c r="J17" s="76" t="s">
        <v>154</v>
      </c>
      <c r="K17" s="76" t="s">
        <v>154</v>
      </c>
      <c r="L17" s="76" t="s">
        <v>154</v>
      </c>
      <c r="M17" s="76" t="s">
        <v>154</v>
      </c>
      <c r="N17" s="80">
        <f>engeletr.arq!C128</f>
        <v>0.24972085385878495</v>
      </c>
      <c r="O17" s="81" t="s">
        <v>154</v>
      </c>
      <c r="P17" s="82"/>
      <c r="Q17" s="83"/>
    </row>
    <row r="18" spans="1:18" s="74" customFormat="1" ht="11.25" x14ac:dyDescent="0.2">
      <c r="A18" s="85">
        <v>300</v>
      </c>
      <c r="B18" s="125">
        <v>80</v>
      </c>
      <c r="C18" s="87">
        <f t="shared" ref="C18:C40" si="0">((A18+B18)/10)</f>
        <v>38</v>
      </c>
      <c r="D18" s="88">
        <f t="shared" ref="D18:D40" si="1">((A18+B18)/80)</f>
        <v>4.75</v>
      </c>
      <c r="E18" s="126">
        <v>16</v>
      </c>
      <c r="F18" s="90">
        <f t="shared" ref="F18:F40" si="2">D18+E18</f>
        <v>20.75</v>
      </c>
      <c r="G18" s="91">
        <f t="shared" ref="G18:G40" si="3">F18/9</f>
        <v>2.3055555555555554</v>
      </c>
      <c r="H18" s="124">
        <f t="shared" ref="H18:H40" si="4">ROUNDUP(G18,0)</f>
        <v>3</v>
      </c>
      <c r="I18" s="93">
        <f t="shared" ref="I18:I40" si="5">H18-0.5</f>
        <v>2.5</v>
      </c>
      <c r="J18" s="94">
        <f t="shared" ref="J18:J40" si="6">C18*$F$9</f>
        <v>274.13200000000001</v>
      </c>
      <c r="K18" s="96">
        <f t="shared" ref="K18:K40" si="7">H18*$F$7</f>
        <v>270</v>
      </c>
      <c r="L18" s="95">
        <f t="shared" ref="L18:L40" si="8">(I18*$F$11)*1</f>
        <v>500</v>
      </c>
      <c r="M18" s="96">
        <f t="shared" ref="M18:M40" si="9">J18+K18+L18</f>
        <v>1044.1320000000001</v>
      </c>
      <c r="N18" s="94">
        <f t="shared" ref="N18:N40" si="10">M18*$N$17</f>
        <v>260.74153458128086</v>
      </c>
      <c r="O18" s="97">
        <f t="shared" ref="O18:O40" si="11">M18+N18</f>
        <v>1304.8735345812809</v>
      </c>
      <c r="P18" s="72">
        <v>1</v>
      </c>
      <c r="Q18" s="98">
        <f t="shared" ref="Q18:Q40" si="12">O18/H18</f>
        <v>434.95784486042697</v>
      </c>
      <c r="R18" s="100"/>
    </row>
    <row r="19" spans="1:18" s="74" customFormat="1" ht="11.25" x14ac:dyDescent="0.2">
      <c r="A19" s="85">
        <v>400</v>
      </c>
      <c r="B19" s="125">
        <v>80</v>
      </c>
      <c r="C19" s="87">
        <f t="shared" si="0"/>
        <v>48</v>
      </c>
      <c r="D19" s="88">
        <f t="shared" si="1"/>
        <v>6</v>
      </c>
      <c r="E19" s="126">
        <v>16</v>
      </c>
      <c r="F19" s="90">
        <f t="shared" si="2"/>
        <v>22</v>
      </c>
      <c r="G19" s="91">
        <f t="shared" si="3"/>
        <v>2.4444444444444446</v>
      </c>
      <c r="H19" s="124">
        <f t="shared" si="4"/>
        <v>3</v>
      </c>
      <c r="I19" s="93">
        <f t="shared" si="5"/>
        <v>2.5</v>
      </c>
      <c r="J19" s="94">
        <f t="shared" si="6"/>
        <v>346.27200000000005</v>
      </c>
      <c r="K19" s="96">
        <f t="shared" si="7"/>
        <v>270</v>
      </c>
      <c r="L19" s="95">
        <f t="shared" si="8"/>
        <v>500</v>
      </c>
      <c r="M19" s="96">
        <f t="shared" si="9"/>
        <v>1116.2719999999999</v>
      </c>
      <c r="N19" s="94">
        <f t="shared" si="10"/>
        <v>278.75639697865358</v>
      </c>
      <c r="O19" s="97">
        <f t="shared" si="11"/>
        <v>1395.0283969786535</v>
      </c>
      <c r="P19" s="72">
        <v>2</v>
      </c>
      <c r="Q19" s="98">
        <f t="shared" si="12"/>
        <v>465.00946565955115</v>
      </c>
      <c r="R19" s="99"/>
    </row>
    <row r="20" spans="1:18" s="74" customFormat="1" ht="11.25" x14ac:dyDescent="0.2">
      <c r="A20" s="85">
        <v>500</v>
      </c>
      <c r="B20" s="125">
        <v>80</v>
      </c>
      <c r="C20" s="87">
        <f t="shared" si="0"/>
        <v>58</v>
      </c>
      <c r="D20" s="88">
        <f t="shared" si="1"/>
        <v>7.25</v>
      </c>
      <c r="E20" s="126">
        <v>16</v>
      </c>
      <c r="F20" s="90">
        <f t="shared" si="2"/>
        <v>23.25</v>
      </c>
      <c r="G20" s="91">
        <f t="shared" si="3"/>
        <v>2.5833333333333335</v>
      </c>
      <c r="H20" s="124">
        <f t="shared" si="4"/>
        <v>3</v>
      </c>
      <c r="I20" s="93">
        <f t="shared" si="5"/>
        <v>2.5</v>
      </c>
      <c r="J20" s="94">
        <f t="shared" si="6"/>
        <v>418.41200000000003</v>
      </c>
      <c r="K20" s="96">
        <f t="shared" si="7"/>
        <v>270</v>
      </c>
      <c r="L20" s="95">
        <f t="shared" si="8"/>
        <v>500</v>
      </c>
      <c r="M20" s="96">
        <f t="shared" si="9"/>
        <v>1188.412</v>
      </c>
      <c r="N20" s="94">
        <f t="shared" si="10"/>
        <v>296.77125937602636</v>
      </c>
      <c r="O20" s="97">
        <f t="shared" si="11"/>
        <v>1485.1832593760264</v>
      </c>
      <c r="P20" s="72">
        <v>3</v>
      </c>
      <c r="Q20" s="98">
        <f t="shared" si="12"/>
        <v>495.06108645867545</v>
      </c>
      <c r="R20" s="99"/>
    </row>
    <row r="21" spans="1:18" s="74" customFormat="1" ht="11.25" x14ac:dyDescent="0.2">
      <c r="A21" s="85">
        <v>600</v>
      </c>
      <c r="B21" s="125">
        <v>80</v>
      </c>
      <c r="C21" s="87">
        <f t="shared" si="0"/>
        <v>68</v>
      </c>
      <c r="D21" s="88">
        <f t="shared" si="1"/>
        <v>8.5</v>
      </c>
      <c r="E21" s="126">
        <v>16</v>
      </c>
      <c r="F21" s="90">
        <f t="shared" si="2"/>
        <v>24.5</v>
      </c>
      <c r="G21" s="91">
        <f t="shared" si="3"/>
        <v>2.7222222222222223</v>
      </c>
      <c r="H21" s="124">
        <f t="shared" si="4"/>
        <v>3</v>
      </c>
      <c r="I21" s="93">
        <f t="shared" si="5"/>
        <v>2.5</v>
      </c>
      <c r="J21" s="94">
        <f t="shared" si="6"/>
        <v>490.55200000000002</v>
      </c>
      <c r="K21" s="96">
        <f t="shared" si="7"/>
        <v>270</v>
      </c>
      <c r="L21" s="95">
        <f t="shared" si="8"/>
        <v>500</v>
      </c>
      <c r="M21" s="96">
        <f t="shared" si="9"/>
        <v>1260.5520000000001</v>
      </c>
      <c r="N21" s="94">
        <f t="shared" si="10"/>
        <v>314.78612177339915</v>
      </c>
      <c r="O21" s="97">
        <f t="shared" si="11"/>
        <v>1575.3381217733993</v>
      </c>
      <c r="P21" s="72">
        <v>4</v>
      </c>
      <c r="Q21" s="98">
        <f t="shared" si="12"/>
        <v>525.1127072577998</v>
      </c>
      <c r="R21" s="99"/>
    </row>
    <row r="22" spans="1:18" s="74" customFormat="1" ht="11.25" x14ac:dyDescent="0.2">
      <c r="A22" s="85">
        <v>700</v>
      </c>
      <c r="B22" s="125">
        <v>80</v>
      </c>
      <c r="C22" s="87">
        <f t="shared" si="0"/>
        <v>78</v>
      </c>
      <c r="D22" s="88">
        <f t="shared" si="1"/>
        <v>9.75</v>
      </c>
      <c r="E22" s="126">
        <v>16</v>
      </c>
      <c r="F22" s="90">
        <f t="shared" si="2"/>
        <v>25.75</v>
      </c>
      <c r="G22" s="91">
        <f t="shared" si="3"/>
        <v>2.8611111111111112</v>
      </c>
      <c r="H22" s="124">
        <f t="shared" si="4"/>
        <v>3</v>
      </c>
      <c r="I22" s="93">
        <f t="shared" si="5"/>
        <v>2.5</v>
      </c>
      <c r="J22" s="94">
        <f t="shared" si="6"/>
        <v>562.69200000000001</v>
      </c>
      <c r="K22" s="96">
        <f t="shared" si="7"/>
        <v>270</v>
      </c>
      <c r="L22" s="95">
        <f t="shared" si="8"/>
        <v>500</v>
      </c>
      <c r="M22" s="96">
        <f t="shared" si="9"/>
        <v>1332.692</v>
      </c>
      <c r="N22" s="94">
        <f t="shared" si="10"/>
        <v>332.80098417077181</v>
      </c>
      <c r="O22" s="97">
        <f t="shared" si="11"/>
        <v>1665.4929841707717</v>
      </c>
      <c r="P22" s="72">
        <v>5</v>
      </c>
      <c r="Q22" s="98">
        <f t="shared" si="12"/>
        <v>555.16432805692386</v>
      </c>
      <c r="R22" s="99"/>
    </row>
    <row r="23" spans="1:18" s="74" customFormat="1" ht="11.25" x14ac:dyDescent="0.2">
      <c r="A23" s="85">
        <v>800</v>
      </c>
      <c r="B23" s="125">
        <v>80</v>
      </c>
      <c r="C23" s="87">
        <f t="shared" si="0"/>
        <v>88</v>
      </c>
      <c r="D23" s="88">
        <f t="shared" si="1"/>
        <v>11</v>
      </c>
      <c r="E23" s="126">
        <v>16</v>
      </c>
      <c r="F23" s="90">
        <f t="shared" si="2"/>
        <v>27</v>
      </c>
      <c r="G23" s="91">
        <f t="shared" si="3"/>
        <v>3</v>
      </c>
      <c r="H23" s="124">
        <f t="shared" si="4"/>
        <v>3</v>
      </c>
      <c r="I23" s="93">
        <f t="shared" si="5"/>
        <v>2.5</v>
      </c>
      <c r="J23" s="94">
        <f t="shared" si="6"/>
        <v>634.83199999999999</v>
      </c>
      <c r="K23" s="96">
        <f t="shared" si="7"/>
        <v>270</v>
      </c>
      <c r="L23" s="95">
        <f t="shared" si="8"/>
        <v>500</v>
      </c>
      <c r="M23" s="96">
        <f t="shared" si="9"/>
        <v>1404.8319999999999</v>
      </c>
      <c r="N23" s="94">
        <f t="shared" si="10"/>
        <v>350.81584656814454</v>
      </c>
      <c r="O23" s="97">
        <f t="shared" si="11"/>
        <v>1755.6478465681444</v>
      </c>
      <c r="P23" s="72">
        <v>6</v>
      </c>
      <c r="Q23" s="98">
        <f t="shared" si="12"/>
        <v>585.21594885604816</v>
      </c>
      <c r="R23" s="99"/>
    </row>
    <row r="24" spans="1:18" s="74" customFormat="1" ht="11.25" x14ac:dyDescent="0.2">
      <c r="A24" s="85">
        <v>900</v>
      </c>
      <c r="B24" s="125">
        <v>80</v>
      </c>
      <c r="C24" s="87">
        <f t="shared" si="0"/>
        <v>98</v>
      </c>
      <c r="D24" s="88">
        <f t="shared" si="1"/>
        <v>12.25</v>
      </c>
      <c r="E24" s="126">
        <v>16</v>
      </c>
      <c r="F24" s="90">
        <f t="shared" si="2"/>
        <v>28.25</v>
      </c>
      <c r="G24" s="91">
        <f t="shared" si="3"/>
        <v>3.1388888888888888</v>
      </c>
      <c r="H24" s="124">
        <f t="shared" si="4"/>
        <v>4</v>
      </c>
      <c r="I24" s="93">
        <f t="shared" si="5"/>
        <v>3.5</v>
      </c>
      <c r="J24" s="94">
        <f t="shared" si="6"/>
        <v>706.97200000000009</v>
      </c>
      <c r="K24" s="96">
        <f t="shared" si="7"/>
        <v>360</v>
      </c>
      <c r="L24" s="95">
        <f t="shared" si="8"/>
        <v>700</v>
      </c>
      <c r="M24" s="96">
        <f t="shared" si="9"/>
        <v>1766.9720000000002</v>
      </c>
      <c r="N24" s="94">
        <f t="shared" si="10"/>
        <v>441.24975658456503</v>
      </c>
      <c r="O24" s="97">
        <f t="shared" si="11"/>
        <v>2208.2217565845654</v>
      </c>
      <c r="P24" s="72">
        <v>7</v>
      </c>
      <c r="Q24" s="98">
        <f t="shared" si="12"/>
        <v>552.05543914614134</v>
      </c>
      <c r="R24" s="99"/>
    </row>
    <row r="25" spans="1:18" s="74" customFormat="1" ht="11.25" x14ac:dyDescent="0.2">
      <c r="A25" s="85">
        <v>1000</v>
      </c>
      <c r="B25" s="125">
        <v>80</v>
      </c>
      <c r="C25" s="87">
        <f t="shared" si="0"/>
        <v>108</v>
      </c>
      <c r="D25" s="88">
        <f t="shared" si="1"/>
        <v>13.5</v>
      </c>
      <c r="E25" s="126">
        <v>16</v>
      </c>
      <c r="F25" s="90">
        <f t="shared" si="2"/>
        <v>29.5</v>
      </c>
      <c r="G25" s="91">
        <f t="shared" si="3"/>
        <v>3.2777777777777777</v>
      </c>
      <c r="H25" s="124">
        <f t="shared" si="4"/>
        <v>4</v>
      </c>
      <c r="I25" s="93">
        <f t="shared" si="5"/>
        <v>3.5</v>
      </c>
      <c r="J25" s="94">
        <f t="shared" si="6"/>
        <v>779.11200000000008</v>
      </c>
      <c r="K25" s="96">
        <f t="shared" si="7"/>
        <v>360</v>
      </c>
      <c r="L25" s="95">
        <f t="shared" si="8"/>
        <v>700</v>
      </c>
      <c r="M25" s="96">
        <f t="shared" si="9"/>
        <v>1839.1120000000001</v>
      </c>
      <c r="N25" s="94">
        <f t="shared" si="10"/>
        <v>459.26461898193776</v>
      </c>
      <c r="O25" s="97">
        <f t="shared" si="11"/>
        <v>2298.376618981938</v>
      </c>
      <c r="P25" s="72">
        <v>8</v>
      </c>
      <c r="Q25" s="98">
        <f t="shared" si="12"/>
        <v>574.5941547454845</v>
      </c>
      <c r="R25" s="99"/>
    </row>
    <row r="26" spans="1:18" s="74" customFormat="1" ht="11.25" x14ac:dyDescent="0.2">
      <c r="A26" s="85">
        <v>1100</v>
      </c>
      <c r="B26" s="125">
        <v>80</v>
      </c>
      <c r="C26" s="87">
        <f t="shared" si="0"/>
        <v>118</v>
      </c>
      <c r="D26" s="88">
        <f t="shared" si="1"/>
        <v>14.75</v>
      </c>
      <c r="E26" s="126">
        <v>16</v>
      </c>
      <c r="F26" s="90">
        <f t="shared" si="2"/>
        <v>30.75</v>
      </c>
      <c r="G26" s="91">
        <f t="shared" si="3"/>
        <v>3.4166666666666665</v>
      </c>
      <c r="H26" s="124">
        <f t="shared" si="4"/>
        <v>4</v>
      </c>
      <c r="I26" s="93">
        <f t="shared" si="5"/>
        <v>3.5</v>
      </c>
      <c r="J26" s="94">
        <f t="shared" si="6"/>
        <v>851.25200000000007</v>
      </c>
      <c r="K26" s="96">
        <f t="shared" si="7"/>
        <v>360</v>
      </c>
      <c r="L26" s="95">
        <f t="shared" si="8"/>
        <v>700</v>
      </c>
      <c r="M26" s="96">
        <f t="shared" si="9"/>
        <v>1911.252</v>
      </c>
      <c r="N26" s="94">
        <f t="shared" si="10"/>
        <v>477.27948137931043</v>
      </c>
      <c r="O26" s="97">
        <f t="shared" si="11"/>
        <v>2388.5314813793102</v>
      </c>
      <c r="P26" s="72">
        <v>9</v>
      </c>
      <c r="Q26" s="98">
        <f t="shared" si="12"/>
        <v>597.13287034482755</v>
      </c>
      <c r="R26" s="99"/>
    </row>
    <row r="27" spans="1:18" s="74" customFormat="1" ht="11.25" x14ac:dyDescent="0.2">
      <c r="A27" s="85">
        <v>1200</v>
      </c>
      <c r="B27" s="125">
        <v>80</v>
      </c>
      <c r="C27" s="87">
        <f t="shared" si="0"/>
        <v>128</v>
      </c>
      <c r="D27" s="88">
        <f t="shared" si="1"/>
        <v>16</v>
      </c>
      <c r="E27" s="126">
        <v>16</v>
      </c>
      <c r="F27" s="90">
        <f t="shared" si="2"/>
        <v>32</v>
      </c>
      <c r="G27" s="91">
        <f t="shared" si="3"/>
        <v>3.5555555555555554</v>
      </c>
      <c r="H27" s="124">
        <f t="shared" si="4"/>
        <v>4</v>
      </c>
      <c r="I27" s="93">
        <f t="shared" si="5"/>
        <v>3.5</v>
      </c>
      <c r="J27" s="94">
        <f t="shared" si="6"/>
        <v>923.39200000000005</v>
      </c>
      <c r="K27" s="96">
        <f t="shared" si="7"/>
        <v>360</v>
      </c>
      <c r="L27" s="95">
        <f t="shared" si="8"/>
        <v>700</v>
      </c>
      <c r="M27" s="96">
        <f t="shared" si="9"/>
        <v>1983.3920000000001</v>
      </c>
      <c r="N27" s="94">
        <f t="shared" si="10"/>
        <v>495.29434377668321</v>
      </c>
      <c r="O27" s="97">
        <f t="shared" si="11"/>
        <v>2478.6863437766833</v>
      </c>
      <c r="P27" s="72">
        <v>10</v>
      </c>
      <c r="Q27" s="98">
        <f t="shared" si="12"/>
        <v>619.67158594417083</v>
      </c>
      <c r="R27" s="99"/>
    </row>
    <row r="28" spans="1:18" s="74" customFormat="1" ht="11.25" x14ac:dyDescent="0.2">
      <c r="A28" s="85">
        <v>1300</v>
      </c>
      <c r="B28" s="125">
        <v>80</v>
      </c>
      <c r="C28" s="87">
        <f t="shared" si="0"/>
        <v>138</v>
      </c>
      <c r="D28" s="88">
        <f t="shared" si="1"/>
        <v>17.25</v>
      </c>
      <c r="E28" s="126">
        <v>16</v>
      </c>
      <c r="F28" s="90">
        <f t="shared" si="2"/>
        <v>33.25</v>
      </c>
      <c r="G28" s="91">
        <f t="shared" si="3"/>
        <v>3.6944444444444446</v>
      </c>
      <c r="H28" s="124">
        <f t="shared" si="4"/>
        <v>4</v>
      </c>
      <c r="I28" s="93">
        <f t="shared" si="5"/>
        <v>3.5</v>
      </c>
      <c r="J28" s="94">
        <f t="shared" si="6"/>
        <v>995.53200000000004</v>
      </c>
      <c r="K28" s="96">
        <f t="shared" si="7"/>
        <v>360</v>
      </c>
      <c r="L28" s="95">
        <f t="shared" si="8"/>
        <v>700</v>
      </c>
      <c r="M28" s="96">
        <f t="shared" si="9"/>
        <v>2055.5320000000002</v>
      </c>
      <c r="N28" s="94">
        <f t="shared" si="10"/>
        <v>513.30920617405604</v>
      </c>
      <c r="O28" s="97">
        <f t="shared" si="11"/>
        <v>2568.8412061740564</v>
      </c>
      <c r="P28" s="72">
        <v>11</v>
      </c>
      <c r="Q28" s="98">
        <f t="shared" si="12"/>
        <v>642.21030154351411</v>
      </c>
      <c r="R28" s="99"/>
    </row>
    <row r="29" spans="1:18" s="74" customFormat="1" ht="11.25" x14ac:dyDescent="0.2">
      <c r="A29" s="85">
        <v>1400</v>
      </c>
      <c r="B29" s="125">
        <v>80</v>
      </c>
      <c r="C29" s="87">
        <f t="shared" si="0"/>
        <v>148</v>
      </c>
      <c r="D29" s="88">
        <f t="shared" si="1"/>
        <v>18.5</v>
      </c>
      <c r="E29" s="126">
        <v>16</v>
      </c>
      <c r="F29" s="90">
        <f t="shared" si="2"/>
        <v>34.5</v>
      </c>
      <c r="G29" s="91">
        <f t="shared" si="3"/>
        <v>3.8333333333333335</v>
      </c>
      <c r="H29" s="124">
        <f t="shared" si="4"/>
        <v>4</v>
      </c>
      <c r="I29" s="93">
        <f t="shared" si="5"/>
        <v>3.5</v>
      </c>
      <c r="J29" s="94">
        <f t="shared" si="6"/>
        <v>1067.672</v>
      </c>
      <c r="K29" s="96">
        <f t="shared" si="7"/>
        <v>360</v>
      </c>
      <c r="L29" s="95">
        <f t="shared" si="8"/>
        <v>700</v>
      </c>
      <c r="M29" s="96">
        <f t="shared" si="9"/>
        <v>2127.672</v>
      </c>
      <c r="N29" s="94">
        <f t="shared" si="10"/>
        <v>531.32406857142871</v>
      </c>
      <c r="O29" s="97">
        <f t="shared" si="11"/>
        <v>2658.9960685714286</v>
      </c>
      <c r="P29" s="72">
        <v>12</v>
      </c>
      <c r="Q29" s="98">
        <f t="shared" si="12"/>
        <v>664.74901714285716</v>
      </c>
      <c r="R29" s="99"/>
    </row>
    <row r="30" spans="1:18" s="74" customFormat="1" ht="11.25" x14ac:dyDescent="0.2">
      <c r="A30" s="85">
        <v>1500</v>
      </c>
      <c r="B30" s="125">
        <v>80</v>
      </c>
      <c r="C30" s="87">
        <f t="shared" si="0"/>
        <v>158</v>
      </c>
      <c r="D30" s="88">
        <f t="shared" si="1"/>
        <v>19.75</v>
      </c>
      <c r="E30" s="126">
        <v>16</v>
      </c>
      <c r="F30" s="90">
        <f t="shared" si="2"/>
        <v>35.75</v>
      </c>
      <c r="G30" s="91">
        <f t="shared" si="3"/>
        <v>3.9722222222222223</v>
      </c>
      <c r="H30" s="124">
        <f t="shared" si="4"/>
        <v>4</v>
      </c>
      <c r="I30" s="93">
        <f t="shared" si="5"/>
        <v>3.5</v>
      </c>
      <c r="J30" s="94">
        <f t="shared" si="6"/>
        <v>1139.8120000000001</v>
      </c>
      <c r="K30" s="96">
        <f t="shared" si="7"/>
        <v>360</v>
      </c>
      <c r="L30" s="95">
        <f t="shared" si="8"/>
        <v>700</v>
      </c>
      <c r="M30" s="96">
        <f t="shared" si="9"/>
        <v>2199.8119999999999</v>
      </c>
      <c r="N30" s="94">
        <f t="shared" si="10"/>
        <v>549.33893096880138</v>
      </c>
      <c r="O30" s="97">
        <f t="shared" si="11"/>
        <v>2749.1509309688013</v>
      </c>
      <c r="P30" s="72">
        <v>13</v>
      </c>
      <c r="Q30" s="98">
        <f t="shared" si="12"/>
        <v>687.28773274220032</v>
      </c>
      <c r="R30" s="99"/>
    </row>
    <row r="31" spans="1:18" s="74" customFormat="1" ht="11.25" x14ac:dyDescent="0.2">
      <c r="A31" s="85">
        <v>1600</v>
      </c>
      <c r="B31" s="125">
        <v>80</v>
      </c>
      <c r="C31" s="87">
        <f t="shared" si="0"/>
        <v>168</v>
      </c>
      <c r="D31" s="88">
        <f t="shared" si="1"/>
        <v>21</v>
      </c>
      <c r="E31" s="126">
        <v>16</v>
      </c>
      <c r="F31" s="90">
        <f t="shared" si="2"/>
        <v>37</v>
      </c>
      <c r="G31" s="91">
        <f t="shared" si="3"/>
        <v>4.1111111111111107</v>
      </c>
      <c r="H31" s="124">
        <f t="shared" si="4"/>
        <v>5</v>
      </c>
      <c r="I31" s="93">
        <f t="shared" si="5"/>
        <v>4.5</v>
      </c>
      <c r="J31" s="94">
        <f t="shared" si="6"/>
        <v>1211.952</v>
      </c>
      <c r="K31" s="96">
        <f t="shared" si="7"/>
        <v>450</v>
      </c>
      <c r="L31" s="95">
        <f t="shared" si="8"/>
        <v>900</v>
      </c>
      <c r="M31" s="96">
        <f t="shared" si="9"/>
        <v>2561.9520000000002</v>
      </c>
      <c r="N31" s="94">
        <f t="shared" si="10"/>
        <v>639.77284098522193</v>
      </c>
      <c r="O31" s="97">
        <f t="shared" si="11"/>
        <v>3201.7248409852223</v>
      </c>
      <c r="P31" s="72">
        <v>14</v>
      </c>
      <c r="Q31" s="98">
        <f t="shared" si="12"/>
        <v>640.34496819704441</v>
      </c>
      <c r="R31" s="99"/>
    </row>
    <row r="32" spans="1:18" s="74" customFormat="1" ht="11.25" x14ac:dyDescent="0.2">
      <c r="A32" s="85">
        <v>1700</v>
      </c>
      <c r="B32" s="125">
        <v>80</v>
      </c>
      <c r="C32" s="87">
        <f t="shared" si="0"/>
        <v>178</v>
      </c>
      <c r="D32" s="88">
        <f t="shared" si="1"/>
        <v>22.25</v>
      </c>
      <c r="E32" s="126">
        <v>16</v>
      </c>
      <c r="F32" s="90">
        <f t="shared" si="2"/>
        <v>38.25</v>
      </c>
      <c r="G32" s="91">
        <f t="shared" si="3"/>
        <v>4.25</v>
      </c>
      <c r="H32" s="124">
        <f t="shared" si="4"/>
        <v>5</v>
      </c>
      <c r="I32" s="93">
        <f t="shared" si="5"/>
        <v>4.5</v>
      </c>
      <c r="J32" s="94">
        <f t="shared" si="6"/>
        <v>1284.0920000000001</v>
      </c>
      <c r="K32" s="96">
        <f t="shared" si="7"/>
        <v>450</v>
      </c>
      <c r="L32" s="95">
        <f t="shared" si="8"/>
        <v>900</v>
      </c>
      <c r="M32" s="96">
        <f t="shared" si="9"/>
        <v>2634.0920000000001</v>
      </c>
      <c r="N32" s="94">
        <f t="shared" si="10"/>
        <v>657.7877033825946</v>
      </c>
      <c r="O32" s="97">
        <f t="shared" si="11"/>
        <v>3291.8797033825949</v>
      </c>
      <c r="P32" s="72">
        <v>15</v>
      </c>
      <c r="Q32" s="98">
        <f t="shared" si="12"/>
        <v>658.37594067651901</v>
      </c>
      <c r="R32" s="99"/>
    </row>
    <row r="33" spans="1:18" s="74" customFormat="1" ht="11.25" x14ac:dyDescent="0.2">
      <c r="A33" s="85">
        <v>1800</v>
      </c>
      <c r="B33" s="125">
        <v>80</v>
      </c>
      <c r="C33" s="87">
        <f t="shared" si="0"/>
        <v>188</v>
      </c>
      <c r="D33" s="88">
        <f t="shared" si="1"/>
        <v>23.5</v>
      </c>
      <c r="E33" s="126">
        <v>16</v>
      </c>
      <c r="F33" s="90">
        <f t="shared" si="2"/>
        <v>39.5</v>
      </c>
      <c r="G33" s="91">
        <f t="shared" si="3"/>
        <v>4.3888888888888893</v>
      </c>
      <c r="H33" s="124">
        <f t="shared" si="4"/>
        <v>5</v>
      </c>
      <c r="I33" s="93">
        <f t="shared" si="5"/>
        <v>4.5</v>
      </c>
      <c r="J33" s="94">
        <f t="shared" si="6"/>
        <v>1356.232</v>
      </c>
      <c r="K33" s="96">
        <f t="shared" si="7"/>
        <v>450</v>
      </c>
      <c r="L33" s="95">
        <f t="shared" si="8"/>
        <v>900</v>
      </c>
      <c r="M33" s="96">
        <f t="shared" si="9"/>
        <v>2706.232</v>
      </c>
      <c r="N33" s="94">
        <f t="shared" si="10"/>
        <v>675.80256577996727</v>
      </c>
      <c r="O33" s="97">
        <f t="shared" si="11"/>
        <v>3382.0345657799671</v>
      </c>
      <c r="P33" s="72">
        <v>16</v>
      </c>
      <c r="Q33" s="98">
        <f t="shared" si="12"/>
        <v>676.40691315599338</v>
      </c>
      <c r="R33" s="99"/>
    </row>
    <row r="34" spans="1:18" s="74" customFormat="1" ht="11.25" x14ac:dyDescent="0.2">
      <c r="A34" s="85">
        <v>1900</v>
      </c>
      <c r="B34" s="125">
        <v>80</v>
      </c>
      <c r="C34" s="87">
        <f t="shared" si="0"/>
        <v>198</v>
      </c>
      <c r="D34" s="88">
        <f t="shared" si="1"/>
        <v>24.75</v>
      </c>
      <c r="E34" s="126">
        <v>16</v>
      </c>
      <c r="F34" s="90">
        <f t="shared" si="2"/>
        <v>40.75</v>
      </c>
      <c r="G34" s="91">
        <f t="shared" si="3"/>
        <v>4.5277777777777777</v>
      </c>
      <c r="H34" s="124">
        <f t="shared" si="4"/>
        <v>5</v>
      </c>
      <c r="I34" s="93">
        <f t="shared" si="5"/>
        <v>4.5</v>
      </c>
      <c r="J34" s="94">
        <f t="shared" si="6"/>
        <v>1428.3720000000001</v>
      </c>
      <c r="K34" s="96">
        <f t="shared" si="7"/>
        <v>450</v>
      </c>
      <c r="L34" s="95">
        <f t="shared" si="8"/>
        <v>900</v>
      </c>
      <c r="M34" s="96">
        <f t="shared" si="9"/>
        <v>2778.3720000000003</v>
      </c>
      <c r="N34" s="94">
        <f t="shared" si="10"/>
        <v>693.81742817734016</v>
      </c>
      <c r="O34" s="97">
        <f t="shared" si="11"/>
        <v>3472.1894281773402</v>
      </c>
      <c r="P34" s="72">
        <v>17</v>
      </c>
      <c r="Q34" s="98">
        <f t="shared" si="12"/>
        <v>694.43788563546809</v>
      </c>
      <c r="R34" s="99"/>
    </row>
    <row r="35" spans="1:18" s="74" customFormat="1" ht="11.25" x14ac:dyDescent="0.2">
      <c r="A35" s="85">
        <v>2000</v>
      </c>
      <c r="B35" s="125">
        <v>80</v>
      </c>
      <c r="C35" s="87">
        <f t="shared" si="0"/>
        <v>208</v>
      </c>
      <c r="D35" s="88">
        <f t="shared" si="1"/>
        <v>26</v>
      </c>
      <c r="E35" s="126">
        <v>16</v>
      </c>
      <c r="F35" s="90">
        <f t="shared" si="2"/>
        <v>42</v>
      </c>
      <c r="G35" s="91">
        <f t="shared" si="3"/>
        <v>4.666666666666667</v>
      </c>
      <c r="H35" s="124">
        <f t="shared" si="4"/>
        <v>5</v>
      </c>
      <c r="I35" s="93">
        <f t="shared" si="5"/>
        <v>4.5</v>
      </c>
      <c r="J35" s="94">
        <f t="shared" si="6"/>
        <v>1500.5120000000002</v>
      </c>
      <c r="K35" s="96">
        <f t="shared" si="7"/>
        <v>450</v>
      </c>
      <c r="L35" s="95">
        <f t="shared" si="8"/>
        <v>900</v>
      </c>
      <c r="M35" s="96">
        <f t="shared" si="9"/>
        <v>2850.5120000000002</v>
      </c>
      <c r="N35" s="94">
        <f t="shared" si="10"/>
        <v>711.83229057471283</v>
      </c>
      <c r="O35" s="97">
        <f t="shared" si="11"/>
        <v>3562.3442905747129</v>
      </c>
      <c r="P35" s="72">
        <v>18</v>
      </c>
      <c r="Q35" s="98">
        <f t="shared" si="12"/>
        <v>712.46885811494258</v>
      </c>
      <c r="R35" s="99"/>
    </row>
    <row r="36" spans="1:18" s="74" customFormat="1" ht="11.25" x14ac:dyDescent="0.2">
      <c r="A36" s="85">
        <v>2100</v>
      </c>
      <c r="B36" s="125">
        <v>80</v>
      </c>
      <c r="C36" s="87">
        <f t="shared" si="0"/>
        <v>218</v>
      </c>
      <c r="D36" s="88">
        <f t="shared" si="1"/>
        <v>27.25</v>
      </c>
      <c r="E36" s="126">
        <v>16</v>
      </c>
      <c r="F36" s="90">
        <f t="shared" si="2"/>
        <v>43.25</v>
      </c>
      <c r="G36" s="91">
        <f t="shared" si="3"/>
        <v>4.8055555555555554</v>
      </c>
      <c r="H36" s="124">
        <f t="shared" si="4"/>
        <v>5</v>
      </c>
      <c r="I36" s="93">
        <f t="shared" si="5"/>
        <v>4.5</v>
      </c>
      <c r="J36" s="94">
        <f t="shared" si="6"/>
        <v>1572.652</v>
      </c>
      <c r="K36" s="96">
        <f t="shared" si="7"/>
        <v>450</v>
      </c>
      <c r="L36" s="95">
        <f t="shared" si="8"/>
        <v>900</v>
      </c>
      <c r="M36" s="96">
        <f t="shared" si="9"/>
        <v>2922.652</v>
      </c>
      <c r="N36" s="94">
        <f t="shared" si="10"/>
        <v>729.84715297208561</v>
      </c>
      <c r="O36" s="97">
        <f t="shared" si="11"/>
        <v>3652.4991529720855</v>
      </c>
      <c r="P36" s="72">
        <v>19</v>
      </c>
      <c r="Q36" s="98">
        <f t="shared" si="12"/>
        <v>730.49983059441706</v>
      </c>
      <c r="R36" s="99"/>
    </row>
    <row r="37" spans="1:18" s="74" customFormat="1" ht="11.25" x14ac:dyDescent="0.2">
      <c r="A37" s="85">
        <v>2200</v>
      </c>
      <c r="B37" s="125">
        <v>80</v>
      </c>
      <c r="C37" s="87">
        <f t="shared" si="0"/>
        <v>228</v>
      </c>
      <c r="D37" s="88">
        <f t="shared" si="1"/>
        <v>28.5</v>
      </c>
      <c r="E37" s="126">
        <v>16</v>
      </c>
      <c r="F37" s="90">
        <f t="shared" si="2"/>
        <v>44.5</v>
      </c>
      <c r="G37" s="91">
        <f t="shared" si="3"/>
        <v>4.9444444444444446</v>
      </c>
      <c r="H37" s="124">
        <f t="shared" si="4"/>
        <v>5</v>
      </c>
      <c r="I37" s="93">
        <f t="shared" si="5"/>
        <v>4.5</v>
      </c>
      <c r="J37" s="94">
        <f t="shared" si="6"/>
        <v>1644.7920000000001</v>
      </c>
      <c r="K37" s="96">
        <f t="shared" si="7"/>
        <v>450</v>
      </c>
      <c r="L37" s="95">
        <f t="shared" si="8"/>
        <v>900</v>
      </c>
      <c r="M37" s="96">
        <f t="shared" si="9"/>
        <v>2994.7920000000004</v>
      </c>
      <c r="N37" s="94">
        <f t="shared" si="10"/>
        <v>747.86201536945839</v>
      </c>
      <c r="O37" s="97">
        <f t="shared" si="11"/>
        <v>3742.6540153694586</v>
      </c>
      <c r="P37" s="72">
        <v>20</v>
      </c>
      <c r="Q37" s="98">
        <f t="shared" si="12"/>
        <v>748.53080307389178</v>
      </c>
      <c r="R37" s="99"/>
    </row>
    <row r="38" spans="1:18" s="74" customFormat="1" ht="11.25" x14ac:dyDescent="0.2">
      <c r="A38" s="85">
        <v>2300</v>
      </c>
      <c r="B38" s="125">
        <v>80</v>
      </c>
      <c r="C38" s="87">
        <f t="shared" si="0"/>
        <v>238</v>
      </c>
      <c r="D38" s="88">
        <f t="shared" si="1"/>
        <v>29.75</v>
      </c>
      <c r="E38" s="126">
        <v>16</v>
      </c>
      <c r="F38" s="90">
        <f t="shared" si="2"/>
        <v>45.75</v>
      </c>
      <c r="G38" s="91">
        <f t="shared" si="3"/>
        <v>5.083333333333333</v>
      </c>
      <c r="H38" s="124">
        <f t="shared" si="4"/>
        <v>6</v>
      </c>
      <c r="I38" s="93">
        <f t="shared" si="5"/>
        <v>5.5</v>
      </c>
      <c r="J38" s="94">
        <f t="shared" si="6"/>
        <v>1716.932</v>
      </c>
      <c r="K38" s="96">
        <f t="shared" si="7"/>
        <v>540</v>
      </c>
      <c r="L38" s="95">
        <f t="shared" si="8"/>
        <v>1100</v>
      </c>
      <c r="M38" s="96">
        <f t="shared" si="9"/>
        <v>3356.9319999999998</v>
      </c>
      <c r="N38" s="94">
        <f t="shared" si="10"/>
        <v>838.2959253858786</v>
      </c>
      <c r="O38" s="97">
        <f t="shared" si="11"/>
        <v>4195.2279253858787</v>
      </c>
      <c r="P38" s="72">
        <v>21</v>
      </c>
      <c r="Q38" s="98">
        <f t="shared" si="12"/>
        <v>699.20465423097983</v>
      </c>
      <c r="R38" s="99"/>
    </row>
    <row r="39" spans="1:18" s="74" customFormat="1" ht="11.25" x14ac:dyDescent="0.2">
      <c r="A39" s="85">
        <v>2400</v>
      </c>
      <c r="B39" s="125">
        <v>80</v>
      </c>
      <c r="C39" s="87">
        <f t="shared" si="0"/>
        <v>248</v>
      </c>
      <c r="D39" s="88">
        <f t="shared" si="1"/>
        <v>31</v>
      </c>
      <c r="E39" s="126">
        <v>16</v>
      </c>
      <c r="F39" s="90">
        <f t="shared" si="2"/>
        <v>47</v>
      </c>
      <c r="G39" s="91">
        <f t="shared" si="3"/>
        <v>5.2222222222222223</v>
      </c>
      <c r="H39" s="124">
        <f t="shared" si="4"/>
        <v>6</v>
      </c>
      <c r="I39" s="93">
        <f t="shared" si="5"/>
        <v>5.5</v>
      </c>
      <c r="J39" s="94">
        <f t="shared" si="6"/>
        <v>1789.0720000000001</v>
      </c>
      <c r="K39" s="96">
        <f t="shared" si="7"/>
        <v>540</v>
      </c>
      <c r="L39" s="95">
        <f t="shared" si="8"/>
        <v>1100</v>
      </c>
      <c r="M39" s="96">
        <f t="shared" si="9"/>
        <v>3429.0720000000001</v>
      </c>
      <c r="N39" s="94">
        <f t="shared" si="10"/>
        <v>856.3107877832515</v>
      </c>
      <c r="O39" s="97">
        <f t="shared" si="11"/>
        <v>4285.3827877832518</v>
      </c>
      <c r="P39" s="72">
        <v>22</v>
      </c>
      <c r="Q39" s="98">
        <f t="shared" si="12"/>
        <v>714.23046463054197</v>
      </c>
      <c r="R39" s="99"/>
    </row>
    <row r="40" spans="1:18" s="74" customFormat="1" ht="11.25" x14ac:dyDescent="0.2">
      <c r="A40" s="85">
        <v>2500</v>
      </c>
      <c r="B40" s="125">
        <v>80</v>
      </c>
      <c r="C40" s="87">
        <f t="shared" si="0"/>
        <v>258</v>
      </c>
      <c r="D40" s="88">
        <f t="shared" si="1"/>
        <v>32.25</v>
      </c>
      <c r="E40" s="126">
        <v>16</v>
      </c>
      <c r="F40" s="90">
        <f t="shared" si="2"/>
        <v>48.25</v>
      </c>
      <c r="G40" s="91">
        <f t="shared" si="3"/>
        <v>5.3611111111111107</v>
      </c>
      <c r="H40" s="124">
        <f t="shared" si="4"/>
        <v>6</v>
      </c>
      <c r="I40" s="93">
        <f t="shared" si="5"/>
        <v>5.5</v>
      </c>
      <c r="J40" s="94">
        <f t="shared" si="6"/>
        <v>1861.2120000000002</v>
      </c>
      <c r="K40" s="96">
        <f t="shared" si="7"/>
        <v>540</v>
      </c>
      <c r="L40" s="95">
        <f t="shared" si="8"/>
        <v>1100</v>
      </c>
      <c r="M40" s="96">
        <f t="shared" si="9"/>
        <v>3501.2120000000004</v>
      </c>
      <c r="N40" s="94">
        <f t="shared" si="10"/>
        <v>874.32565018062428</v>
      </c>
      <c r="O40" s="97">
        <f t="shared" si="11"/>
        <v>4375.537650180625</v>
      </c>
      <c r="P40" s="72">
        <v>23</v>
      </c>
      <c r="Q40" s="98">
        <f t="shared" si="12"/>
        <v>729.25627503010412</v>
      </c>
      <c r="R40" s="99"/>
    </row>
    <row r="41" spans="1:18" s="113" customFormat="1" ht="11.25" x14ac:dyDescent="0.2">
      <c r="D41" s="114"/>
      <c r="E41" s="115"/>
      <c r="F41" s="116"/>
      <c r="G41" s="117"/>
      <c r="H41" s="117"/>
      <c r="I41" s="117"/>
      <c r="J41" s="117"/>
      <c r="N41" s="74"/>
      <c r="O41" s="118"/>
      <c r="P41" s="119"/>
      <c r="Q41" s="120">
        <f>SUM(Q18:Q40)</f>
        <v>14401.979076098525</v>
      </c>
    </row>
    <row r="42" spans="1:18" x14ac:dyDescent="0.2">
      <c r="O42" s="121"/>
      <c r="Q42" s="120">
        <f>Q41/23</f>
        <v>626.17300330863156</v>
      </c>
    </row>
    <row r="47" spans="1:18" s="42" customFormat="1" ht="11.25" x14ac:dyDescent="0.2"/>
    <row r="48" spans="1:18" s="42" customFormat="1" ht="11.25" x14ac:dyDescent="0.2"/>
    <row r="49" s="42" customFormat="1" ht="11.25" x14ac:dyDescent="0.2"/>
    <row r="50" s="42" customFormat="1" ht="11.25" x14ac:dyDescent="0.2"/>
    <row r="51" s="42" customFormat="1" ht="11.25" x14ac:dyDescent="0.2"/>
    <row r="52" s="42" customFormat="1" ht="11.25" x14ac:dyDescent="0.2"/>
    <row r="54" s="42" customFormat="1" ht="11.25" x14ac:dyDescent="0.2"/>
  </sheetData>
  <mergeCells count="2">
    <mergeCell ref="A1:O1"/>
    <mergeCell ref="A2:O2"/>
  </mergeCells>
  <printOptions horizontalCentered="1" verticalCentered="1"/>
  <pageMargins left="0.78749999999999998" right="0.78749999999999998" top="0.98402777777777795" bottom="0.98402777777777795" header="0.51180555555555496" footer="0.51180555555555496"/>
  <pageSetup paperSize="9" scale="79" firstPageNumber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0"/>
  <sheetViews>
    <sheetView view="pageBreakPreview" topLeftCell="A13" zoomScaleNormal="120" workbookViewId="0">
      <selection activeCell="E18" sqref="E18:E36"/>
    </sheetView>
  </sheetViews>
  <sheetFormatPr defaultColWidth="9.33203125" defaultRowHeight="12.75" x14ac:dyDescent="0.2"/>
  <cols>
    <col min="1" max="1" width="18.33203125" style="42" customWidth="1"/>
    <col min="2" max="3" width="9.5" style="42" customWidth="1"/>
    <col min="4" max="4" width="9.33203125" style="43"/>
    <col min="5" max="5" width="9.5" style="44" customWidth="1"/>
    <col min="6" max="6" width="9.5" style="45" customWidth="1"/>
    <col min="7" max="7" width="9.33203125" style="46"/>
    <col min="8" max="8" width="8.5" style="46" customWidth="1"/>
    <col min="9" max="9" width="8.6640625" style="46" customWidth="1"/>
    <col min="10" max="10" width="10.83203125" style="46" customWidth="1"/>
    <col min="11" max="11" width="9.33203125" style="42"/>
    <col min="12" max="12" width="12.6640625" style="42" customWidth="1"/>
    <col min="13" max="13" width="10.83203125" style="42" customWidth="1"/>
    <col min="14" max="14" width="9.33203125" style="47"/>
    <col min="15" max="15" width="10.83203125" style="48" customWidth="1"/>
    <col min="16" max="16" width="3.83203125" style="49" customWidth="1"/>
    <col min="17" max="17" width="10.6640625" style="50" customWidth="1"/>
    <col min="18" max="1024" width="9.33203125" style="42"/>
  </cols>
  <sheetData>
    <row r="1" spans="1:17" x14ac:dyDescent="0.2">
      <c r="A1" s="216" t="s">
        <v>122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51"/>
      <c r="Q1" s="52"/>
    </row>
    <row r="2" spans="1:17" x14ac:dyDescent="0.2">
      <c r="A2" s="217" t="s">
        <v>163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51"/>
      <c r="Q2" s="52"/>
    </row>
    <row r="3" spans="1:17" s="55" customFormat="1" ht="11.25" x14ac:dyDescent="0.2">
      <c r="A3" s="218"/>
      <c r="B3" s="218"/>
      <c r="C3" s="218"/>
      <c r="D3" s="218"/>
      <c r="E3" s="218"/>
      <c r="F3" s="218"/>
      <c r="G3" s="54"/>
      <c r="H3" s="54"/>
      <c r="I3" s="54"/>
      <c r="J3" s="54"/>
      <c r="N3" s="47"/>
      <c r="O3" s="47"/>
      <c r="P3" s="56"/>
      <c r="Q3" s="57"/>
    </row>
    <row r="4" spans="1:17" x14ac:dyDescent="0.2">
      <c r="A4" s="218" t="s">
        <v>124</v>
      </c>
      <c r="B4" s="218"/>
      <c r="C4" s="218"/>
      <c r="D4" s="218"/>
      <c r="E4" s="218"/>
      <c r="F4" s="218"/>
    </row>
    <row r="5" spans="1:17" x14ac:dyDescent="0.2">
      <c r="A5" s="219" t="s">
        <v>125</v>
      </c>
      <c r="B5" s="219"/>
      <c r="C5" s="219"/>
      <c r="D5" s="219"/>
      <c r="E5" s="219"/>
      <c r="F5" s="58">
        <v>80</v>
      </c>
    </row>
    <row r="6" spans="1:17" x14ac:dyDescent="0.2">
      <c r="A6" s="219" t="s">
        <v>126</v>
      </c>
      <c r="B6" s="219"/>
      <c r="C6" s="219"/>
      <c r="D6" s="219"/>
      <c r="E6" s="219"/>
      <c r="F6" s="58">
        <v>4</v>
      </c>
    </row>
    <row r="7" spans="1:17" x14ac:dyDescent="0.2">
      <c r="A7" s="219" t="s">
        <v>127</v>
      </c>
      <c r="B7" s="219"/>
      <c r="C7" s="219"/>
      <c r="D7" s="219"/>
      <c r="E7" s="219"/>
      <c r="F7" s="58">
        <v>90</v>
      </c>
    </row>
    <row r="8" spans="1:17" x14ac:dyDescent="0.2">
      <c r="A8" s="219" t="s">
        <v>128</v>
      </c>
      <c r="B8" s="219"/>
      <c r="C8" s="219"/>
      <c r="D8" s="219"/>
      <c r="E8" s="219"/>
      <c r="F8" s="59" t="s">
        <v>129</v>
      </c>
    </row>
    <row r="9" spans="1:17" x14ac:dyDescent="0.2">
      <c r="A9" s="219" t="s">
        <v>130</v>
      </c>
      <c r="B9" s="219"/>
      <c r="C9" s="219"/>
      <c r="D9" s="219"/>
      <c r="E9" s="219"/>
      <c r="F9" s="60">
        <v>7.2140000000000004</v>
      </c>
    </row>
    <row r="10" spans="1:17" x14ac:dyDescent="0.2">
      <c r="A10" s="219" t="s">
        <v>131</v>
      </c>
      <c r="B10" s="219"/>
      <c r="C10" s="219"/>
      <c r="D10" s="219"/>
      <c r="E10" s="219"/>
      <c r="F10" s="58">
        <v>10</v>
      </c>
    </row>
    <row r="11" spans="1:17" s="55" customFormat="1" ht="11.25" x14ac:dyDescent="0.2">
      <c r="A11" s="219" t="s">
        <v>132</v>
      </c>
      <c r="B11" s="219"/>
      <c r="C11" s="219"/>
      <c r="D11" s="219"/>
      <c r="E11" s="219"/>
      <c r="F11" s="61">
        <v>200</v>
      </c>
      <c r="G11" s="54"/>
      <c r="H11" s="54"/>
      <c r="I11" s="54"/>
      <c r="J11" s="54"/>
      <c r="N11" s="47"/>
      <c r="O11" s="47"/>
      <c r="P11" s="56"/>
      <c r="Q11" s="57"/>
    </row>
    <row r="13" spans="1:17" x14ac:dyDescent="0.2">
      <c r="A13" s="63"/>
      <c r="B13" s="63"/>
      <c r="C13" s="63"/>
    </row>
    <row r="14" spans="1:17" x14ac:dyDescent="0.2">
      <c r="A14" s="63"/>
      <c r="B14" s="63"/>
      <c r="C14" s="63"/>
    </row>
    <row r="15" spans="1:17" s="74" customFormat="1" ht="112.5" x14ac:dyDescent="0.2">
      <c r="A15" s="64" t="s">
        <v>133</v>
      </c>
      <c r="B15" s="122" t="s">
        <v>156</v>
      </c>
      <c r="C15" s="65" t="s">
        <v>135</v>
      </c>
      <c r="D15" s="66" t="s">
        <v>136</v>
      </c>
      <c r="E15" s="123" t="s">
        <v>164</v>
      </c>
      <c r="F15" s="68" t="s">
        <v>138</v>
      </c>
      <c r="G15" s="69" t="s">
        <v>139</v>
      </c>
      <c r="H15" s="69" t="s">
        <v>140</v>
      </c>
      <c r="I15" s="69" t="s">
        <v>141</v>
      </c>
      <c r="J15" s="65" t="s">
        <v>142</v>
      </c>
      <c r="K15" s="65" t="s">
        <v>143</v>
      </c>
      <c r="L15" s="65" t="s">
        <v>144</v>
      </c>
      <c r="M15" s="65" t="s">
        <v>145</v>
      </c>
      <c r="N15" s="70" t="s">
        <v>146</v>
      </c>
      <c r="O15" s="71" t="s">
        <v>147</v>
      </c>
      <c r="P15" s="72"/>
      <c r="Q15" s="73" t="s">
        <v>148</v>
      </c>
    </row>
    <row r="16" spans="1:17" s="84" customFormat="1" ht="11.25" x14ac:dyDescent="0.2">
      <c r="A16" s="75" t="s">
        <v>149</v>
      </c>
      <c r="B16" s="76" t="s">
        <v>149</v>
      </c>
      <c r="C16" s="76" t="s">
        <v>150</v>
      </c>
      <c r="D16" s="77" t="s">
        <v>151</v>
      </c>
      <c r="E16" s="78" t="s">
        <v>151</v>
      </c>
      <c r="F16" s="79" t="s">
        <v>151</v>
      </c>
      <c r="G16" s="77" t="s">
        <v>152</v>
      </c>
      <c r="H16" s="77" t="s">
        <v>153</v>
      </c>
      <c r="I16" s="76" t="s">
        <v>153</v>
      </c>
      <c r="J16" s="76" t="s">
        <v>154</v>
      </c>
      <c r="K16" s="76" t="s">
        <v>154</v>
      </c>
      <c r="L16" s="76" t="s">
        <v>154</v>
      </c>
      <c r="M16" s="76" t="s">
        <v>154</v>
      </c>
      <c r="N16" s="80">
        <f>engeletr.arq!C128</f>
        <v>0.24972085385878495</v>
      </c>
      <c r="O16" s="81" t="s">
        <v>154</v>
      </c>
      <c r="P16" s="82"/>
      <c r="Q16" s="83"/>
    </row>
    <row r="17" spans="1:18" s="74" customFormat="1" ht="11.25" x14ac:dyDescent="0.2">
      <c r="A17" s="85">
        <v>400</v>
      </c>
      <c r="B17" s="125">
        <v>100</v>
      </c>
      <c r="C17" s="87">
        <f t="shared" ref="C17:C36" si="0">((A17+B17)/10)</f>
        <v>50</v>
      </c>
      <c r="D17" s="88">
        <f t="shared" ref="D17:D36" si="1">((A17+B17)/80)</f>
        <v>6.25</v>
      </c>
      <c r="E17" s="126">
        <v>20</v>
      </c>
      <c r="F17" s="90">
        <f t="shared" ref="F17:F36" si="2">D17+E17</f>
        <v>26.25</v>
      </c>
      <c r="G17" s="91">
        <f t="shared" ref="G17:G36" si="3">F17/9</f>
        <v>2.9166666666666665</v>
      </c>
      <c r="H17" s="124">
        <f t="shared" ref="H17:H36" si="4">ROUNDUP(G17,0)</f>
        <v>3</v>
      </c>
      <c r="I17" s="93">
        <f t="shared" ref="I17:I36" si="5">H17-0.5</f>
        <v>2.5</v>
      </c>
      <c r="J17" s="94">
        <f t="shared" ref="J17:J36" si="6">C17*$F$9</f>
        <v>360.70000000000005</v>
      </c>
      <c r="K17" s="96">
        <f t="shared" ref="K17:K36" si="7">H17*$F$7</f>
        <v>270</v>
      </c>
      <c r="L17" s="95">
        <f t="shared" ref="L17:L36" si="8">(I17*$F$11)*1</f>
        <v>500</v>
      </c>
      <c r="M17" s="96">
        <f t="shared" ref="M17:M36" si="9">J17+K17+L17</f>
        <v>1130.7</v>
      </c>
      <c r="N17" s="94">
        <f t="shared" ref="N17:N36" si="10">M17*$N$16</f>
        <v>282.35936945812819</v>
      </c>
      <c r="O17" s="97">
        <f t="shared" ref="O17:O36" si="11">M17+N17</f>
        <v>1413.0593694581282</v>
      </c>
      <c r="P17" s="72">
        <v>1</v>
      </c>
      <c r="Q17" s="131">
        <f t="shared" ref="Q17:Q36" si="12">O17/H17</f>
        <v>471.01978981937606</v>
      </c>
      <c r="R17" s="99"/>
    </row>
    <row r="18" spans="1:18" s="74" customFormat="1" ht="11.25" x14ac:dyDescent="0.2">
      <c r="A18" s="85">
        <v>500</v>
      </c>
      <c r="B18" s="125">
        <v>100</v>
      </c>
      <c r="C18" s="87">
        <f t="shared" si="0"/>
        <v>60</v>
      </c>
      <c r="D18" s="88">
        <f t="shared" si="1"/>
        <v>7.5</v>
      </c>
      <c r="E18" s="126">
        <v>20</v>
      </c>
      <c r="F18" s="90">
        <f t="shared" si="2"/>
        <v>27.5</v>
      </c>
      <c r="G18" s="91">
        <f t="shared" si="3"/>
        <v>3.0555555555555554</v>
      </c>
      <c r="H18" s="124">
        <f t="shared" si="4"/>
        <v>4</v>
      </c>
      <c r="I18" s="93">
        <f t="shared" si="5"/>
        <v>3.5</v>
      </c>
      <c r="J18" s="94">
        <f t="shared" si="6"/>
        <v>432.84000000000003</v>
      </c>
      <c r="K18" s="96">
        <f t="shared" si="7"/>
        <v>360</v>
      </c>
      <c r="L18" s="95">
        <f t="shared" si="8"/>
        <v>700</v>
      </c>
      <c r="M18" s="96">
        <f t="shared" si="9"/>
        <v>1492.8400000000001</v>
      </c>
      <c r="N18" s="94">
        <f t="shared" si="10"/>
        <v>372.79327947454857</v>
      </c>
      <c r="O18" s="97">
        <f t="shared" si="11"/>
        <v>1865.6332794745488</v>
      </c>
      <c r="P18" s="72">
        <v>2</v>
      </c>
      <c r="Q18" s="131">
        <f t="shared" si="12"/>
        <v>466.40831986863719</v>
      </c>
      <c r="R18" s="99"/>
    </row>
    <row r="19" spans="1:18" s="74" customFormat="1" ht="11.25" x14ac:dyDescent="0.2">
      <c r="A19" s="85">
        <v>600</v>
      </c>
      <c r="B19" s="125">
        <v>100</v>
      </c>
      <c r="C19" s="87">
        <f t="shared" si="0"/>
        <v>70</v>
      </c>
      <c r="D19" s="88">
        <f t="shared" si="1"/>
        <v>8.75</v>
      </c>
      <c r="E19" s="126">
        <v>20</v>
      </c>
      <c r="F19" s="90">
        <f t="shared" si="2"/>
        <v>28.75</v>
      </c>
      <c r="G19" s="91">
        <f t="shared" si="3"/>
        <v>3.1944444444444446</v>
      </c>
      <c r="H19" s="124">
        <f t="shared" si="4"/>
        <v>4</v>
      </c>
      <c r="I19" s="93">
        <f t="shared" si="5"/>
        <v>3.5</v>
      </c>
      <c r="J19" s="94">
        <f t="shared" si="6"/>
        <v>504.98</v>
      </c>
      <c r="K19" s="96">
        <f t="shared" si="7"/>
        <v>360</v>
      </c>
      <c r="L19" s="95">
        <f t="shared" si="8"/>
        <v>700</v>
      </c>
      <c r="M19" s="96">
        <f t="shared" si="9"/>
        <v>1564.98</v>
      </c>
      <c r="N19" s="94">
        <f t="shared" si="10"/>
        <v>390.80814187192129</v>
      </c>
      <c r="O19" s="97">
        <f t="shared" si="11"/>
        <v>1955.7881418719212</v>
      </c>
      <c r="P19" s="72">
        <v>3</v>
      </c>
      <c r="Q19" s="131">
        <f t="shared" si="12"/>
        <v>488.9470354679803</v>
      </c>
      <c r="R19" s="99"/>
    </row>
    <row r="20" spans="1:18" s="74" customFormat="1" ht="11.25" x14ac:dyDescent="0.2">
      <c r="A20" s="85">
        <v>700</v>
      </c>
      <c r="B20" s="125">
        <v>100</v>
      </c>
      <c r="C20" s="87">
        <f t="shared" si="0"/>
        <v>80</v>
      </c>
      <c r="D20" s="88">
        <f t="shared" si="1"/>
        <v>10</v>
      </c>
      <c r="E20" s="126">
        <v>20</v>
      </c>
      <c r="F20" s="90">
        <f t="shared" si="2"/>
        <v>30</v>
      </c>
      <c r="G20" s="91">
        <f t="shared" si="3"/>
        <v>3.3333333333333335</v>
      </c>
      <c r="H20" s="124">
        <f t="shared" si="4"/>
        <v>4</v>
      </c>
      <c r="I20" s="93">
        <f t="shared" si="5"/>
        <v>3.5</v>
      </c>
      <c r="J20" s="94">
        <f t="shared" si="6"/>
        <v>577.12</v>
      </c>
      <c r="K20" s="96">
        <f t="shared" si="7"/>
        <v>360</v>
      </c>
      <c r="L20" s="95">
        <f t="shared" si="8"/>
        <v>700</v>
      </c>
      <c r="M20" s="96">
        <f t="shared" si="9"/>
        <v>1637.12</v>
      </c>
      <c r="N20" s="94">
        <f t="shared" si="10"/>
        <v>408.82300426929402</v>
      </c>
      <c r="O20" s="97">
        <f t="shared" si="11"/>
        <v>2045.9430042692939</v>
      </c>
      <c r="P20" s="72">
        <v>4</v>
      </c>
      <c r="Q20" s="131">
        <f t="shared" si="12"/>
        <v>511.48575106732346</v>
      </c>
      <c r="R20" s="99"/>
    </row>
    <row r="21" spans="1:18" s="74" customFormat="1" ht="11.25" x14ac:dyDescent="0.2">
      <c r="A21" s="85">
        <v>800</v>
      </c>
      <c r="B21" s="125">
        <v>100</v>
      </c>
      <c r="C21" s="87">
        <f t="shared" si="0"/>
        <v>90</v>
      </c>
      <c r="D21" s="88">
        <f t="shared" si="1"/>
        <v>11.25</v>
      </c>
      <c r="E21" s="126">
        <v>20</v>
      </c>
      <c r="F21" s="90">
        <f t="shared" si="2"/>
        <v>31.25</v>
      </c>
      <c r="G21" s="91">
        <f t="shared" si="3"/>
        <v>3.4722222222222223</v>
      </c>
      <c r="H21" s="124">
        <f t="shared" si="4"/>
        <v>4</v>
      </c>
      <c r="I21" s="93">
        <f t="shared" si="5"/>
        <v>3.5</v>
      </c>
      <c r="J21" s="94">
        <f t="shared" si="6"/>
        <v>649.26</v>
      </c>
      <c r="K21" s="96">
        <f t="shared" si="7"/>
        <v>360</v>
      </c>
      <c r="L21" s="95">
        <f t="shared" si="8"/>
        <v>700</v>
      </c>
      <c r="M21" s="96">
        <f t="shared" si="9"/>
        <v>1709.26</v>
      </c>
      <c r="N21" s="94">
        <f t="shared" si="10"/>
        <v>426.83786666666674</v>
      </c>
      <c r="O21" s="97">
        <f t="shared" si="11"/>
        <v>2136.097866666667</v>
      </c>
      <c r="P21" s="72">
        <v>5</v>
      </c>
      <c r="Q21" s="131">
        <f t="shared" si="12"/>
        <v>534.02446666666674</v>
      </c>
      <c r="R21" s="99"/>
    </row>
    <row r="22" spans="1:18" s="74" customFormat="1" ht="11.25" x14ac:dyDescent="0.2">
      <c r="A22" s="85">
        <v>900</v>
      </c>
      <c r="B22" s="125">
        <v>100</v>
      </c>
      <c r="C22" s="87">
        <f t="shared" si="0"/>
        <v>100</v>
      </c>
      <c r="D22" s="88">
        <f t="shared" si="1"/>
        <v>12.5</v>
      </c>
      <c r="E22" s="126">
        <v>20</v>
      </c>
      <c r="F22" s="90">
        <f t="shared" si="2"/>
        <v>32.5</v>
      </c>
      <c r="G22" s="91">
        <f t="shared" si="3"/>
        <v>3.6111111111111112</v>
      </c>
      <c r="H22" s="124">
        <f t="shared" si="4"/>
        <v>4</v>
      </c>
      <c r="I22" s="93">
        <f t="shared" si="5"/>
        <v>3.5</v>
      </c>
      <c r="J22" s="94">
        <f t="shared" si="6"/>
        <v>721.40000000000009</v>
      </c>
      <c r="K22" s="96">
        <f t="shared" si="7"/>
        <v>360</v>
      </c>
      <c r="L22" s="95">
        <f t="shared" si="8"/>
        <v>700</v>
      </c>
      <c r="M22" s="96">
        <f t="shared" si="9"/>
        <v>1781.4</v>
      </c>
      <c r="N22" s="94">
        <f t="shared" si="10"/>
        <v>444.85272906403952</v>
      </c>
      <c r="O22" s="97">
        <f t="shared" si="11"/>
        <v>2226.2527290640396</v>
      </c>
      <c r="P22" s="72">
        <v>6</v>
      </c>
      <c r="Q22" s="131">
        <f t="shared" si="12"/>
        <v>556.5631822660099</v>
      </c>
      <c r="R22" s="99"/>
    </row>
    <row r="23" spans="1:18" s="74" customFormat="1" ht="11.25" x14ac:dyDescent="0.2">
      <c r="A23" s="85">
        <v>1000</v>
      </c>
      <c r="B23" s="125">
        <v>100</v>
      </c>
      <c r="C23" s="87">
        <f t="shared" si="0"/>
        <v>110</v>
      </c>
      <c r="D23" s="88">
        <f t="shared" si="1"/>
        <v>13.75</v>
      </c>
      <c r="E23" s="126">
        <v>20</v>
      </c>
      <c r="F23" s="90">
        <f t="shared" si="2"/>
        <v>33.75</v>
      </c>
      <c r="G23" s="91">
        <f t="shared" si="3"/>
        <v>3.75</v>
      </c>
      <c r="H23" s="124">
        <f t="shared" si="4"/>
        <v>4</v>
      </c>
      <c r="I23" s="93">
        <f t="shared" si="5"/>
        <v>3.5</v>
      </c>
      <c r="J23" s="94">
        <f t="shared" si="6"/>
        <v>793.54000000000008</v>
      </c>
      <c r="K23" s="96">
        <f t="shared" si="7"/>
        <v>360</v>
      </c>
      <c r="L23" s="95">
        <f t="shared" si="8"/>
        <v>700</v>
      </c>
      <c r="M23" s="96">
        <f t="shared" si="9"/>
        <v>1853.54</v>
      </c>
      <c r="N23" s="94">
        <f t="shared" si="10"/>
        <v>462.86759146141225</v>
      </c>
      <c r="O23" s="97">
        <f t="shared" si="11"/>
        <v>2316.4075914614123</v>
      </c>
      <c r="P23" s="72">
        <v>7</v>
      </c>
      <c r="Q23" s="131">
        <f t="shared" si="12"/>
        <v>579.10189786535307</v>
      </c>
      <c r="R23" s="99"/>
    </row>
    <row r="24" spans="1:18" s="74" customFormat="1" ht="11.25" x14ac:dyDescent="0.2">
      <c r="A24" s="85">
        <v>1100</v>
      </c>
      <c r="B24" s="125">
        <v>100</v>
      </c>
      <c r="C24" s="87">
        <f t="shared" si="0"/>
        <v>120</v>
      </c>
      <c r="D24" s="88">
        <f t="shared" si="1"/>
        <v>15</v>
      </c>
      <c r="E24" s="126">
        <v>20</v>
      </c>
      <c r="F24" s="90">
        <f t="shared" si="2"/>
        <v>35</v>
      </c>
      <c r="G24" s="91">
        <f t="shared" si="3"/>
        <v>3.8888888888888888</v>
      </c>
      <c r="H24" s="124">
        <f t="shared" si="4"/>
        <v>4</v>
      </c>
      <c r="I24" s="93">
        <f t="shared" si="5"/>
        <v>3.5</v>
      </c>
      <c r="J24" s="94">
        <f t="shared" si="6"/>
        <v>865.68000000000006</v>
      </c>
      <c r="K24" s="96">
        <f t="shared" si="7"/>
        <v>360</v>
      </c>
      <c r="L24" s="95">
        <f t="shared" si="8"/>
        <v>700</v>
      </c>
      <c r="M24" s="96">
        <f t="shared" si="9"/>
        <v>1925.68</v>
      </c>
      <c r="N24" s="94">
        <f t="shared" si="10"/>
        <v>480.88245385878503</v>
      </c>
      <c r="O24" s="97">
        <f t="shared" si="11"/>
        <v>2406.5624538587849</v>
      </c>
      <c r="P24" s="72">
        <v>8</v>
      </c>
      <c r="Q24" s="131">
        <f t="shared" si="12"/>
        <v>601.64061346469623</v>
      </c>
      <c r="R24" s="99"/>
    </row>
    <row r="25" spans="1:18" s="74" customFormat="1" ht="11.25" x14ac:dyDescent="0.2">
      <c r="A25" s="85">
        <v>1200</v>
      </c>
      <c r="B25" s="125">
        <v>100</v>
      </c>
      <c r="C25" s="87">
        <f t="shared" si="0"/>
        <v>130</v>
      </c>
      <c r="D25" s="88">
        <f t="shared" si="1"/>
        <v>16.25</v>
      </c>
      <c r="E25" s="126">
        <v>20</v>
      </c>
      <c r="F25" s="90">
        <f t="shared" si="2"/>
        <v>36.25</v>
      </c>
      <c r="G25" s="91">
        <f t="shared" si="3"/>
        <v>4.0277777777777777</v>
      </c>
      <c r="H25" s="124">
        <f t="shared" si="4"/>
        <v>5</v>
      </c>
      <c r="I25" s="93">
        <f t="shared" si="5"/>
        <v>4.5</v>
      </c>
      <c r="J25" s="94">
        <f t="shared" si="6"/>
        <v>937.82</v>
      </c>
      <c r="K25" s="96">
        <f t="shared" si="7"/>
        <v>450</v>
      </c>
      <c r="L25" s="95">
        <f t="shared" si="8"/>
        <v>900</v>
      </c>
      <c r="M25" s="96">
        <f t="shared" si="9"/>
        <v>2287.8200000000002</v>
      </c>
      <c r="N25" s="94">
        <f t="shared" si="10"/>
        <v>571.31636387520541</v>
      </c>
      <c r="O25" s="97">
        <f t="shared" si="11"/>
        <v>2859.1363638752055</v>
      </c>
      <c r="P25" s="72">
        <v>9</v>
      </c>
      <c r="Q25" s="131">
        <f t="shared" si="12"/>
        <v>571.82727277504114</v>
      </c>
      <c r="R25" s="99"/>
    </row>
    <row r="26" spans="1:18" s="74" customFormat="1" ht="11.25" x14ac:dyDescent="0.2">
      <c r="A26" s="85">
        <v>1300</v>
      </c>
      <c r="B26" s="125">
        <v>100</v>
      </c>
      <c r="C26" s="87">
        <f t="shared" si="0"/>
        <v>140</v>
      </c>
      <c r="D26" s="88">
        <f t="shared" si="1"/>
        <v>17.5</v>
      </c>
      <c r="E26" s="126">
        <v>20</v>
      </c>
      <c r="F26" s="90">
        <f t="shared" si="2"/>
        <v>37.5</v>
      </c>
      <c r="G26" s="91">
        <f t="shared" si="3"/>
        <v>4.166666666666667</v>
      </c>
      <c r="H26" s="124">
        <f t="shared" si="4"/>
        <v>5</v>
      </c>
      <c r="I26" s="93">
        <f t="shared" si="5"/>
        <v>4.5</v>
      </c>
      <c r="J26" s="94">
        <f t="shared" si="6"/>
        <v>1009.96</v>
      </c>
      <c r="K26" s="96">
        <f t="shared" si="7"/>
        <v>450</v>
      </c>
      <c r="L26" s="95">
        <f t="shared" si="8"/>
        <v>900</v>
      </c>
      <c r="M26" s="96">
        <f t="shared" si="9"/>
        <v>2359.96</v>
      </c>
      <c r="N26" s="94">
        <f t="shared" si="10"/>
        <v>589.33122627257819</v>
      </c>
      <c r="O26" s="97">
        <f t="shared" si="11"/>
        <v>2949.2912262725781</v>
      </c>
      <c r="P26" s="72">
        <v>10</v>
      </c>
      <c r="Q26" s="131">
        <f t="shared" si="12"/>
        <v>589.85824525451562</v>
      </c>
      <c r="R26" s="99"/>
    </row>
    <row r="27" spans="1:18" s="74" customFormat="1" ht="11.25" x14ac:dyDescent="0.2">
      <c r="A27" s="85">
        <v>1400</v>
      </c>
      <c r="B27" s="125">
        <v>100</v>
      </c>
      <c r="C27" s="87">
        <f t="shared" si="0"/>
        <v>150</v>
      </c>
      <c r="D27" s="88">
        <f t="shared" si="1"/>
        <v>18.75</v>
      </c>
      <c r="E27" s="126">
        <v>20</v>
      </c>
      <c r="F27" s="90">
        <f t="shared" si="2"/>
        <v>38.75</v>
      </c>
      <c r="G27" s="91">
        <f t="shared" si="3"/>
        <v>4.3055555555555554</v>
      </c>
      <c r="H27" s="124">
        <f t="shared" si="4"/>
        <v>5</v>
      </c>
      <c r="I27" s="93">
        <f t="shared" si="5"/>
        <v>4.5</v>
      </c>
      <c r="J27" s="94">
        <f t="shared" si="6"/>
        <v>1082.1000000000001</v>
      </c>
      <c r="K27" s="96">
        <f t="shared" si="7"/>
        <v>450</v>
      </c>
      <c r="L27" s="95">
        <f t="shared" si="8"/>
        <v>900</v>
      </c>
      <c r="M27" s="96">
        <f t="shared" si="9"/>
        <v>2432.1000000000004</v>
      </c>
      <c r="N27" s="94">
        <f t="shared" si="10"/>
        <v>607.34608866995097</v>
      </c>
      <c r="O27" s="97">
        <f t="shared" si="11"/>
        <v>3039.4460886699512</v>
      </c>
      <c r="P27" s="72">
        <v>11</v>
      </c>
      <c r="Q27" s="131">
        <f t="shared" si="12"/>
        <v>607.88921773399022</v>
      </c>
      <c r="R27" s="99"/>
    </row>
    <row r="28" spans="1:18" s="74" customFormat="1" ht="11.25" x14ac:dyDescent="0.2">
      <c r="A28" s="85">
        <v>1500</v>
      </c>
      <c r="B28" s="125">
        <v>100</v>
      </c>
      <c r="C28" s="87">
        <f t="shared" si="0"/>
        <v>160</v>
      </c>
      <c r="D28" s="88">
        <f t="shared" si="1"/>
        <v>20</v>
      </c>
      <c r="E28" s="126">
        <v>20</v>
      </c>
      <c r="F28" s="90">
        <f t="shared" si="2"/>
        <v>40</v>
      </c>
      <c r="G28" s="91">
        <f t="shared" si="3"/>
        <v>4.4444444444444446</v>
      </c>
      <c r="H28" s="124">
        <f t="shared" si="4"/>
        <v>5</v>
      </c>
      <c r="I28" s="93">
        <f t="shared" si="5"/>
        <v>4.5</v>
      </c>
      <c r="J28" s="94">
        <f t="shared" si="6"/>
        <v>1154.24</v>
      </c>
      <c r="K28" s="96">
        <f t="shared" si="7"/>
        <v>450</v>
      </c>
      <c r="L28" s="95">
        <f t="shared" si="8"/>
        <v>900</v>
      </c>
      <c r="M28" s="96">
        <f t="shared" si="9"/>
        <v>2504.2399999999998</v>
      </c>
      <c r="N28" s="94">
        <f t="shared" si="10"/>
        <v>625.36095106732353</v>
      </c>
      <c r="O28" s="97">
        <f t="shared" si="11"/>
        <v>3129.6009510673234</v>
      </c>
      <c r="P28" s="72">
        <v>12</v>
      </c>
      <c r="Q28" s="131">
        <f t="shared" si="12"/>
        <v>625.92019021346471</v>
      </c>
      <c r="R28" s="99"/>
    </row>
    <row r="29" spans="1:18" s="74" customFormat="1" ht="11.25" x14ac:dyDescent="0.2">
      <c r="A29" s="85">
        <v>1600</v>
      </c>
      <c r="B29" s="125">
        <v>100</v>
      </c>
      <c r="C29" s="87">
        <f t="shared" si="0"/>
        <v>170</v>
      </c>
      <c r="D29" s="88">
        <f t="shared" si="1"/>
        <v>21.25</v>
      </c>
      <c r="E29" s="126">
        <v>20</v>
      </c>
      <c r="F29" s="90">
        <f t="shared" si="2"/>
        <v>41.25</v>
      </c>
      <c r="G29" s="91">
        <f t="shared" si="3"/>
        <v>4.583333333333333</v>
      </c>
      <c r="H29" s="124">
        <f t="shared" si="4"/>
        <v>5</v>
      </c>
      <c r="I29" s="93">
        <f t="shared" si="5"/>
        <v>4.5</v>
      </c>
      <c r="J29" s="94">
        <f t="shared" si="6"/>
        <v>1226.3800000000001</v>
      </c>
      <c r="K29" s="96">
        <f t="shared" si="7"/>
        <v>450</v>
      </c>
      <c r="L29" s="95">
        <f t="shared" si="8"/>
        <v>900</v>
      </c>
      <c r="M29" s="96">
        <f t="shared" si="9"/>
        <v>2576.38</v>
      </c>
      <c r="N29" s="94">
        <f t="shared" si="10"/>
        <v>643.37581346469642</v>
      </c>
      <c r="O29" s="97">
        <f t="shared" si="11"/>
        <v>3219.7558134646965</v>
      </c>
      <c r="P29" s="72">
        <v>13</v>
      </c>
      <c r="Q29" s="131">
        <f t="shared" si="12"/>
        <v>643.95116269293931</v>
      </c>
      <c r="R29" s="99"/>
    </row>
    <row r="30" spans="1:18" s="74" customFormat="1" ht="11.25" x14ac:dyDescent="0.2">
      <c r="A30" s="85">
        <v>1700</v>
      </c>
      <c r="B30" s="125">
        <v>100</v>
      </c>
      <c r="C30" s="87">
        <f t="shared" si="0"/>
        <v>180</v>
      </c>
      <c r="D30" s="88">
        <f t="shared" si="1"/>
        <v>22.5</v>
      </c>
      <c r="E30" s="126">
        <v>20</v>
      </c>
      <c r="F30" s="90">
        <f t="shared" si="2"/>
        <v>42.5</v>
      </c>
      <c r="G30" s="91">
        <f t="shared" si="3"/>
        <v>4.7222222222222223</v>
      </c>
      <c r="H30" s="124">
        <f t="shared" si="4"/>
        <v>5</v>
      </c>
      <c r="I30" s="93">
        <f t="shared" si="5"/>
        <v>4.5</v>
      </c>
      <c r="J30" s="94">
        <f t="shared" si="6"/>
        <v>1298.52</v>
      </c>
      <c r="K30" s="96">
        <f t="shared" si="7"/>
        <v>450</v>
      </c>
      <c r="L30" s="95">
        <f t="shared" si="8"/>
        <v>900</v>
      </c>
      <c r="M30" s="96">
        <f t="shared" si="9"/>
        <v>2648.52</v>
      </c>
      <c r="N30" s="94">
        <f t="shared" si="10"/>
        <v>661.39067586206909</v>
      </c>
      <c r="O30" s="97">
        <f t="shared" si="11"/>
        <v>3309.9106758620692</v>
      </c>
      <c r="P30" s="72">
        <v>14</v>
      </c>
      <c r="Q30" s="131">
        <f t="shared" si="12"/>
        <v>661.98213517241379</v>
      </c>
      <c r="R30" s="99"/>
    </row>
    <row r="31" spans="1:18" s="74" customFormat="1" ht="11.25" x14ac:dyDescent="0.2">
      <c r="A31" s="85">
        <v>1800</v>
      </c>
      <c r="B31" s="125">
        <v>100</v>
      </c>
      <c r="C31" s="87">
        <f t="shared" si="0"/>
        <v>190</v>
      </c>
      <c r="D31" s="88">
        <f t="shared" si="1"/>
        <v>23.75</v>
      </c>
      <c r="E31" s="126">
        <v>20</v>
      </c>
      <c r="F31" s="90">
        <f t="shared" si="2"/>
        <v>43.75</v>
      </c>
      <c r="G31" s="91">
        <f t="shared" si="3"/>
        <v>4.8611111111111107</v>
      </c>
      <c r="H31" s="124">
        <f t="shared" si="4"/>
        <v>5</v>
      </c>
      <c r="I31" s="93">
        <f t="shared" si="5"/>
        <v>4.5</v>
      </c>
      <c r="J31" s="94">
        <f t="shared" si="6"/>
        <v>1370.66</v>
      </c>
      <c r="K31" s="96">
        <f t="shared" si="7"/>
        <v>450</v>
      </c>
      <c r="L31" s="95">
        <f t="shared" si="8"/>
        <v>900</v>
      </c>
      <c r="M31" s="96">
        <f t="shared" si="9"/>
        <v>2720.66</v>
      </c>
      <c r="N31" s="94">
        <f t="shared" si="10"/>
        <v>679.40553825944187</v>
      </c>
      <c r="O31" s="97">
        <f t="shared" si="11"/>
        <v>3400.0655382594418</v>
      </c>
      <c r="P31" s="72">
        <v>15</v>
      </c>
      <c r="Q31" s="131">
        <f t="shared" si="12"/>
        <v>680.01310765188839</v>
      </c>
      <c r="R31" s="99"/>
    </row>
    <row r="32" spans="1:18" s="74" customFormat="1" ht="11.25" x14ac:dyDescent="0.2">
      <c r="A32" s="85">
        <v>1900</v>
      </c>
      <c r="B32" s="125">
        <v>100</v>
      </c>
      <c r="C32" s="87">
        <f t="shared" si="0"/>
        <v>200</v>
      </c>
      <c r="D32" s="88">
        <f t="shared" si="1"/>
        <v>25</v>
      </c>
      <c r="E32" s="126">
        <v>20</v>
      </c>
      <c r="F32" s="90">
        <f t="shared" si="2"/>
        <v>45</v>
      </c>
      <c r="G32" s="91">
        <f t="shared" si="3"/>
        <v>5</v>
      </c>
      <c r="H32" s="124">
        <f t="shared" si="4"/>
        <v>5</v>
      </c>
      <c r="I32" s="93">
        <f t="shared" si="5"/>
        <v>4.5</v>
      </c>
      <c r="J32" s="94">
        <f t="shared" si="6"/>
        <v>1442.8000000000002</v>
      </c>
      <c r="K32" s="96">
        <f t="shared" si="7"/>
        <v>450</v>
      </c>
      <c r="L32" s="95">
        <f t="shared" si="8"/>
        <v>900</v>
      </c>
      <c r="M32" s="96">
        <f t="shared" si="9"/>
        <v>2792.8</v>
      </c>
      <c r="N32" s="94">
        <f t="shared" si="10"/>
        <v>697.42040065681465</v>
      </c>
      <c r="O32" s="97">
        <f t="shared" si="11"/>
        <v>3490.2204006568149</v>
      </c>
      <c r="P32" s="72">
        <v>16</v>
      </c>
      <c r="Q32" s="131">
        <f t="shared" si="12"/>
        <v>698.04408013136299</v>
      </c>
      <c r="R32" s="99"/>
    </row>
    <row r="33" spans="1:18" s="74" customFormat="1" ht="11.25" x14ac:dyDescent="0.2">
      <c r="A33" s="85">
        <v>2000</v>
      </c>
      <c r="B33" s="125">
        <v>100</v>
      </c>
      <c r="C33" s="87">
        <f t="shared" si="0"/>
        <v>210</v>
      </c>
      <c r="D33" s="88">
        <f t="shared" si="1"/>
        <v>26.25</v>
      </c>
      <c r="E33" s="126">
        <v>20</v>
      </c>
      <c r="F33" s="90">
        <f t="shared" si="2"/>
        <v>46.25</v>
      </c>
      <c r="G33" s="91">
        <f t="shared" si="3"/>
        <v>5.1388888888888893</v>
      </c>
      <c r="H33" s="124">
        <f t="shared" si="4"/>
        <v>6</v>
      </c>
      <c r="I33" s="93">
        <f t="shared" si="5"/>
        <v>5.5</v>
      </c>
      <c r="J33" s="94">
        <f t="shared" si="6"/>
        <v>1514.94</v>
      </c>
      <c r="K33" s="96">
        <f t="shared" si="7"/>
        <v>540</v>
      </c>
      <c r="L33" s="95">
        <f t="shared" si="8"/>
        <v>1100</v>
      </c>
      <c r="M33" s="96">
        <f t="shared" si="9"/>
        <v>3154.94</v>
      </c>
      <c r="N33" s="94">
        <f t="shared" si="10"/>
        <v>787.85431067323498</v>
      </c>
      <c r="O33" s="97">
        <f t="shared" si="11"/>
        <v>3942.794310673235</v>
      </c>
      <c r="P33" s="72">
        <v>17</v>
      </c>
      <c r="Q33" s="131">
        <f t="shared" si="12"/>
        <v>657.13238511220584</v>
      </c>
      <c r="R33" s="99"/>
    </row>
    <row r="34" spans="1:18" s="74" customFormat="1" ht="11.25" x14ac:dyDescent="0.2">
      <c r="A34" s="85">
        <v>2100</v>
      </c>
      <c r="B34" s="125">
        <v>100</v>
      </c>
      <c r="C34" s="87">
        <f t="shared" si="0"/>
        <v>220</v>
      </c>
      <c r="D34" s="88">
        <f t="shared" si="1"/>
        <v>27.5</v>
      </c>
      <c r="E34" s="126">
        <v>20</v>
      </c>
      <c r="F34" s="90">
        <f t="shared" si="2"/>
        <v>47.5</v>
      </c>
      <c r="G34" s="91">
        <f t="shared" si="3"/>
        <v>5.2777777777777777</v>
      </c>
      <c r="H34" s="124">
        <f t="shared" si="4"/>
        <v>6</v>
      </c>
      <c r="I34" s="93">
        <f t="shared" si="5"/>
        <v>5.5</v>
      </c>
      <c r="J34" s="94">
        <f t="shared" si="6"/>
        <v>1587.0800000000002</v>
      </c>
      <c r="K34" s="96">
        <f t="shared" si="7"/>
        <v>540</v>
      </c>
      <c r="L34" s="95">
        <f t="shared" si="8"/>
        <v>1100</v>
      </c>
      <c r="M34" s="96">
        <f t="shared" si="9"/>
        <v>3227.08</v>
      </c>
      <c r="N34" s="94">
        <f t="shared" si="10"/>
        <v>805.86917307060776</v>
      </c>
      <c r="O34" s="97">
        <f t="shared" si="11"/>
        <v>4032.9491730706077</v>
      </c>
      <c r="P34" s="72">
        <v>18</v>
      </c>
      <c r="Q34" s="131">
        <f t="shared" si="12"/>
        <v>672.15819551176799</v>
      </c>
      <c r="R34" s="99"/>
    </row>
    <row r="35" spans="1:18" s="74" customFormat="1" ht="11.25" x14ac:dyDescent="0.2">
      <c r="A35" s="85">
        <v>2200</v>
      </c>
      <c r="B35" s="125">
        <v>100</v>
      </c>
      <c r="C35" s="87">
        <f t="shared" si="0"/>
        <v>230</v>
      </c>
      <c r="D35" s="88">
        <f t="shared" si="1"/>
        <v>28.75</v>
      </c>
      <c r="E35" s="126">
        <v>20</v>
      </c>
      <c r="F35" s="90">
        <f t="shared" si="2"/>
        <v>48.75</v>
      </c>
      <c r="G35" s="91">
        <f t="shared" si="3"/>
        <v>5.416666666666667</v>
      </c>
      <c r="H35" s="124">
        <f t="shared" si="4"/>
        <v>6</v>
      </c>
      <c r="I35" s="93">
        <f t="shared" si="5"/>
        <v>5.5</v>
      </c>
      <c r="J35" s="94">
        <f t="shared" si="6"/>
        <v>1659.22</v>
      </c>
      <c r="K35" s="96">
        <f t="shared" si="7"/>
        <v>540</v>
      </c>
      <c r="L35" s="95">
        <f t="shared" si="8"/>
        <v>1100</v>
      </c>
      <c r="M35" s="96">
        <f t="shared" si="9"/>
        <v>3299.2200000000003</v>
      </c>
      <c r="N35" s="94">
        <f t="shared" si="10"/>
        <v>823.88403546798054</v>
      </c>
      <c r="O35" s="97">
        <f t="shared" si="11"/>
        <v>4123.1040354679808</v>
      </c>
      <c r="P35" s="72">
        <v>19</v>
      </c>
      <c r="Q35" s="131">
        <f t="shared" si="12"/>
        <v>687.18400591133013</v>
      </c>
      <c r="R35" s="99"/>
    </row>
    <row r="36" spans="1:18" s="74" customFormat="1" ht="11.25" x14ac:dyDescent="0.2">
      <c r="A36" s="85">
        <v>2300</v>
      </c>
      <c r="B36" s="125">
        <v>100</v>
      </c>
      <c r="C36" s="87">
        <f t="shared" si="0"/>
        <v>240</v>
      </c>
      <c r="D36" s="88">
        <f t="shared" si="1"/>
        <v>30</v>
      </c>
      <c r="E36" s="126">
        <v>20</v>
      </c>
      <c r="F36" s="90">
        <f t="shared" si="2"/>
        <v>50</v>
      </c>
      <c r="G36" s="91">
        <f t="shared" si="3"/>
        <v>5.5555555555555554</v>
      </c>
      <c r="H36" s="124">
        <f t="shared" si="4"/>
        <v>6</v>
      </c>
      <c r="I36" s="93">
        <f t="shared" si="5"/>
        <v>5.5</v>
      </c>
      <c r="J36" s="94">
        <f t="shared" si="6"/>
        <v>1731.3600000000001</v>
      </c>
      <c r="K36" s="96">
        <f t="shared" si="7"/>
        <v>540</v>
      </c>
      <c r="L36" s="95">
        <f t="shared" si="8"/>
        <v>1100</v>
      </c>
      <c r="M36" s="96">
        <f t="shared" si="9"/>
        <v>3371.36</v>
      </c>
      <c r="N36" s="94">
        <f t="shared" si="10"/>
        <v>841.89889786535332</v>
      </c>
      <c r="O36" s="97">
        <f t="shared" si="11"/>
        <v>4213.258897865353</v>
      </c>
      <c r="P36" s="72">
        <v>20</v>
      </c>
      <c r="Q36" s="131">
        <f t="shared" si="12"/>
        <v>702.20981631089217</v>
      </c>
      <c r="R36" s="99"/>
    </row>
    <row r="37" spans="1:18" s="113" customFormat="1" ht="11.25" x14ac:dyDescent="0.2">
      <c r="D37" s="114"/>
      <c r="E37" s="115"/>
      <c r="F37" s="116"/>
      <c r="G37" s="117"/>
      <c r="H37" s="117"/>
      <c r="I37" s="117"/>
      <c r="J37" s="117"/>
      <c r="N37" s="74"/>
      <c r="O37" s="118"/>
      <c r="P37" s="119"/>
      <c r="Q37" s="132">
        <f>SUM(Q17:Q36)</f>
        <v>12007.360870957855</v>
      </c>
    </row>
    <row r="38" spans="1:18" x14ac:dyDescent="0.2">
      <c r="O38" s="121"/>
      <c r="Q38" s="132">
        <f>Q37/20</f>
        <v>600.36804354789274</v>
      </c>
    </row>
    <row r="43" spans="1:18" s="42" customFormat="1" ht="11.25" x14ac:dyDescent="0.2"/>
    <row r="44" spans="1:18" s="42" customFormat="1" ht="11.25" x14ac:dyDescent="0.2"/>
    <row r="45" spans="1:18" s="42" customFormat="1" ht="11.25" x14ac:dyDescent="0.2"/>
    <row r="46" spans="1:18" s="42" customFormat="1" ht="11.25" x14ac:dyDescent="0.2"/>
    <row r="47" spans="1:18" s="42" customFormat="1" ht="11.25" x14ac:dyDescent="0.2"/>
    <row r="48" spans="1:18" s="42" customFormat="1" ht="11.25" x14ac:dyDescent="0.2"/>
    <row r="50" s="42" customFormat="1" ht="11.25" x14ac:dyDescent="0.2"/>
  </sheetData>
  <mergeCells count="11">
    <mergeCell ref="A11:E11"/>
    <mergeCell ref="A6:E6"/>
    <mergeCell ref="A7:E7"/>
    <mergeCell ref="A8:E8"/>
    <mergeCell ref="A9:E9"/>
    <mergeCell ref="A10:E10"/>
    <mergeCell ref="A1:O1"/>
    <mergeCell ref="A2:O2"/>
    <mergeCell ref="A3:F3"/>
    <mergeCell ref="A4:F4"/>
    <mergeCell ref="A5:E5"/>
  </mergeCells>
  <printOptions horizontalCentered="1" verticalCentered="1"/>
  <pageMargins left="1.1812499999999999" right="0.59027777777777801" top="0.78749999999999998" bottom="0.78749999999999998" header="0.51180555555555496" footer="0.51180555555555496"/>
  <pageSetup paperSize="9" scale="90" firstPageNumber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1"/>
  <sheetViews>
    <sheetView view="pageBreakPreview" zoomScaleNormal="100" workbookViewId="0">
      <selection activeCell="B11" sqref="B11"/>
    </sheetView>
  </sheetViews>
  <sheetFormatPr defaultColWidth="9.33203125" defaultRowHeight="12.75" x14ac:dyDescent="0.2"/>
  <cols>
    <col min="1" max="1" width="68.6640625" style="171" customWidth="1"/>
    <col min="2" max="2" width="34" style="171" customWidth="1"/>
    <col min="3" max="3" width="11.83203125" style="171" customWidth="1"/>
    <col min="4" max="1024" width="9.33203125" style="171"/>
    <col min="1025" max="16384" width="9.33203125" style="173"/>
  </cols>
  <sheetData>
    <row r="1" spans="1:16" ht="79.5" customHeight="1" x14ac:dyDescent="0.2">
      <c r="A1" s="221"/>
      <c r="B1" s="221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</row>
    <row r="2" spans="1:16" ht="24" customHeight="1" x14ac:dyDescent="0.3">
      <c r="A2" s="222" t="s">
        <v>165</v>
      </c>
      <c r="B2" s="222"/>
    </row>
    <row r="3" spans="1:16" ht="18.75" x14ac:dyDescent="0.3">
      <c r="A3" s="174"/>
      <c r="B3" s="174"/>
    </row>
    <row r="4" spans="1:16" ht="28.5" customHeight="1" x14ac:dyDescent="0.2"/>
    <row r="5" spans="1:16" s="177" customFormat="1" ht="18" customHeight="1" x14ac:dyDescent="0.2">
      <c r="A5" s="175" t="s">
        <v>166</v>
      </c>
      <c r="B5" s="176">
        <f>'Deslocamento 1 município'!Q39</f>
        <v>687.15139955814311</v>
      </c>
    </row>
    <row r="6" spans="1:16" s="177" customFormat="1" ht="18" customHeight="1" x14ac:dyDescent="0.2">
      <c r="A6" s="175" t="s">
        <v>167</v>
      </c>
      <c r="B6" s="176">
        <f>'Deslocamento 2 municípios'!Q48</f>
        <v>689.37000652027018</v>
      </c>
    </row>
    <row r="7" spans="1:16" s="177" customFormat="1" ht="18" customHeight="1" x14ac:dyDescent="0.2">
      <c r="A7" s="175" t="s">
        <v>168</v>
      </c>
      <c r="B7" s="176">
        <f>'Deslocamento 3 municípios'!Q45</f>
        <v>655.70055678696087</v>
      </c>
    </row>
    <row r="8" spans="1:16" s="177" customFormat="1" ht="18" customHeight="1" x14ac:dyDescent="0.2">
      <c r="A8" s="175" t="s">
        <v>169</v>
      </c>
      <c r="B8" s="176">
        <f>'Deslocamento 4 municípios'!Q42</f>
        <v>626.17300330863156</v>
      </c>
    </row>
    <row r="9" spans="1:16" s="177" customFormat="1" ht="18" customHeight="1" x14ac:dyDescent="0.2">
      <c r="A9" s="175" t="s">
        <v>170</v>
      </c>
      <c r="B9" s="176">
        <f>'Deslocamento 5 municípios'!Q38</f>
        <v>600.36804354789274</v>
      </c>
    </row>
    <row r="10" spans="1:16" s="177" customFormat="1" ht="18" customHeight="1" x14ac:dyDescent="0.2">
      <c r="A10" s="175"/>
      <c r="B10" s="178">
        <f>SUM(B5:B9)</f>
        <v>3258.7630097218985</v>
      </c>
    </row>
    <row r="11" spans="1:16" s="177" customFormat="1" ht="48" customHeight="1" x14ac:dyDescent="0.2">
      <c r="A11" s="179" t="s">
        <v>171</v>
      </c>
      <c r="B11" s="180">
        <f>B10/5</f>
        <v>651.75260194437965</v>
      </c>
      <c r="C11" s="181"/>
    </row>
  </sheetData>
  <mergeCells count="2">
    <mergeCell ref="A1:B1"/>
    <mergeCell ref="A2:B2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7"/>
  <sheetViews>
    <sheetView view="pageBreakPreview" zoomScaleNormal="100" workbookViewId="0">
      <selection activeCell="C18" sqref="C18"/>
    </sheetView>
  </sheetViews>
  <sheetFormatPr defaultColWidth="9.33203125" defaultRowHeight="12.75" x14ac:dyDescent="0.2"/>
  <cols>
    <col min="1" max="1" width="65" style="133" customWidth="1"/>
    <col min="2" max="2" width="22.83203125" style="133" customWidth="1"/>
    <col min="3" max="3" width="21.6640625" style="133" customWidth="1"/>
    <col min="4" max="4" width="13.33203125" style="133" customWidth="1"/>
    <col min="5" max="5" width="16.6640625" style="133" customWidth="1"/>
    <col min="6" max="1024" width="9.33203125" style="133"/>
  </cols>
  <sheetData>
    <row r="1" spans="1:5" ht="18.75" x14ac:dyDescent="0.3">
      <c r="A1" s="223" t="s">
        <v>210</v>
      </c>
      <c r="B1" s="223"/>
      <c r="C1" s="223"/>
    </row>
    <row r="3" spans="1:5" x14ac:dyDescent="0.2">
      <c r="B3" s="134" t="s">
        <v>172</v>
      </c>
      <c r="C3" s="134" t="s">
        <v>101</v>
      </c>
    </row>
    <row r="4" spans="1:5" ht="15.75" x14ac:dyDescent="0.2">
      <c r="A4" s="135" t="s">
        <v>173</v>
      </c>
      <c r="B4" s="136">
        <v>5</v>
      </c>
      <c r="C4" s="137">
        <f>B4*(ROUND((DESLOC.MÉDIO!$B$11),2))</f>
        <v>3258.75</v>
      </c>
    </row>
    <row r="5" spans="1:5" ht="31.5" x14ac:dyDescent="0.2">
      <c r="A5" s="135" t="s">
        <v>181</v>
      </c>
      <c r="B5" s="136">
        <f>B4*5</f>
        <v>25</v>
      </c>
      <c r="C5" s="137">
        <f>B5*(ROUND((DESLOC.MÉDIO!$B$11),2))</f>
        <v>16293.75</v>
      </c>
      <c r="D5" s="138"/>
    </row>
    <row r="6" spans="1:5" ht="21.75" customHeight="1" x14ac:dyDescent="0.2">
      <c r="A6" s="135" t="s">
        <v>174</v>
      </c>
      <c r="B6" s="136">
        <f>B4*6</f>
        <v>30</v>
      </c>
      <c r="C6" s="137">
        <f>B6*(ROUND((DESLOC.MÉDIO!$B$11),2))</f>
        <v>19552.5</v>
      </c>
      <c r="D6" s="138"/>
      <c r="E6" s="139"/>
    </row>
    <row r="7" spans="1:5" ht="20.25" customHeight="1" x14ac:dyDescent="0.2">
      <c r="A7" s="135" t="s">
        <v>182</v>
      </c>
      <c r="B7" s="136">
        <f>B6*5</f>
        <v>150</v>
      </c>
      <c r="C7" s="137">
        <f>B7*(ROUND((DESLOC.MÉDIO!$B$11),2))</f>
        <v>97762.5</v>
      </c>
      <c r="D7" s="138"/>
    </row>
  </sheetData>
  <mergeCells count="1">
    <mergeCell ref="A1:C1"/>
  </mergeCells>
  <pageMargins left="0.51180555555555496" right="0.51180555555555496" top="0.78749999999999998" bottom="0.78749999999999998" header="0.51180555555555496" footer="0.51180555555555496"/>
  <pageSetup paperSize="9" scale="94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41"/>
  <sheetViews>
    <sheetView view="pageBreakPreview" topLeftCell="A118" zoomScale="130" zoomScaleNormal="115" zoomScaleSheetLayoutView="130" workbookViewId="0">
      <selection activeCell="D55" sqref="D55"/>
    </sheetView>
  </sheetViews>
  <sheetFormatPr defaultColWidth="9.33203125" defaultRowHeight="12.75" x14ac:dyDescent="0.2"/>
  <cols>
    <col min="1" max="1" width="9.33203125" style="1"/>
    <col min="2" max="2" width="70.33203125" style="1" customWidth="1"/>
    <col min="3" max="3" width="21" style="1" customWidth="1"/>
    <col min="4" max="4" width="16.6640625" style="1" customWidth="1"/>
    <col min="5" max="5" width="14.83203125" style="1" customWidth="1"/>
    <col min="6" max="6" width="14" style="1" customWidth="1"/>
    <col min="7" max="7" width="17.6640625" style="1" customWidth="1"/>
    <col min="8" max="1024" width="9.33203125" style="1"/>
  </cols>
  <sheetData>
    <row r="1" spans="1:8" ht="15.75" x14ac:dyDescent="0.25">
      <c r="A1" s="195" t="s">
        <v>0</v>
      </c>
      <c r="B1" s="195"/>
      <c r="C1" s="195"/>
      <c r="D1" s="195"/>
    </row>
    <row r="3" spans="1:8" x14ac:dyDescent="0.2">
      <c r="A3" s="196" t="s">
        <v>1</v>
      </c>
      <c r="B3" s="196"/>
      <c r="C3" s="196"/>
      <c r="D3" s="196"/>
    </row>
    <row r="4" spans="1:8" x14ac:dyDescent="0.2">
      <c r="A4" s="2"/>
      <c r="B4" s="2"/>
      <c r="C4" s="2"/>
      <c r="D4" s="2"/>
      <c r="F4" s="1" t="s">
        <v>177</v>
      </c>
      <c r="G4" s="141">
        <v>0.70909999999999995</v>
      </c>
    </row>
    <row r="5" spans="1:8" x14ac:dyDescent="0.2">
      <c r="A5" s="3">
        <v>1</v>
      </c>
      <c r="B5" s="3" t="s">
        <v>2</v>
      </c>
      <c r="C5" s="197" t="s">
        <v>183</v>
      </c>
      <c r="D5" s="197"/>
    </row>
    <row r="6" spans="1:8" x14ac:dyDescent="0.2">
      <c r="A6" s="3">
        <v>2</v>
      </c>
      <c r="B6" s="3" t="s">
        <v>3</v>
      </c>
      <c r="C6" s="198">
        <v>11035.36</v>
      </c>
      <c r="D6" s="198"/>
      <c r="F6" s="1" t="s">
        <v>176</v>
      </c>
      <c r="G6" s="140">
        <v>18860.53</v>
      </c>
      <c r="H6" s="1" t="s">
        <v>178</v>
      </c>
    </row>
    <row r="7" spans="1:8" x14ac:dyDescent="0.2">
      <c r="A7" s="3">
        <v>3</v>
      </c>
      <c r="B7" s="3" t="s">
        <v>4</v>
      </c>
      <c r="C7" s="197"/>
      <c r="D7" s="197"/>
    </row>
    <row r="8" spans="1:8" x14ac:dyDescent="0.2">
      <c r="A8" s="3">
        <v>4</v>
      </c>
      <c r="B8" s="3" t="s">
        <v>5</v>
      </c>
      <c r="C8" s="199" t="s">
        <v>175</v>
      </c>
      <c r="D8" s="199"/>
      <c r="G8" s="142">
        <f>G6/(1+G4)</f>
        <v>11035.35779065005</v>
      </c>
      <c r="H8" s="1" t="s">
        <v>179</v>
      </c>
    </row>
    <row r="10" spans="1:8" x14ac:dyDescent="0.2">
      <c r="A10" s="196" t="s">
        <v>6</v>
      </c>
      <c r="B10" s="196"/>
      <c r="C10" s="196"/>
      <c r="D10" s="196"/>
    </row>
    <row r="12" spans="1:8" ht="12.75" customHeight="1" x14ac:dyDescent="0.2">
      <c r="A12" s="4">
        <v>1</v>
      </c>
      <c r="B12" s="200" t="s">
        <v>7</v>
      </c>
      <c r="C12" s="200"/>
      <c r="D12" s="4" t="s">
        <v>8</v>
      </c>
    </row>
    <row r="13" spans="1:8" ht="12.75" customHeight="1" x14ac:dyDescent="0.2">
      <c r="A13" s="5" t="s">
        <v>9</v>
      </c>
      <c r="B13" s="201" t="s">
        <v>10</v>
      </c>
      <c r="C13" s="201"/>
      <c r="D13" s="7">
        <f>+C6</f>
        <v>11035.36</v>
      </c>
    </row>
    <row r="14" spans="1:8" ht="12.75" customHeight="1" x14ac:dyDescent="0.2">
      <c r="A14" s="5" t="s">
        <v>11</v>
      </c>
      <c r="B14" s="201" t="s">
        <v>12</v>
      </c>
      <c r="C14" s="201"/>
      <c r="D14" s="7"/>
      <c r="G14" s="140"/>
    </row>
    <row r="15" spans="1:8" ht="12.75" customHeight="1" x14ac:dyDescent="0.2">
      <c r="A15" s="5" t="s">
        <v>13</v>
      </c>
      <c r="B15" s="201" t="s">
        <v>14</v>
      </c>
      <c r="C15" s="201"/>
      <c r="D15" s="7"/>
      <c r="G15" s="140"/>
    </row>
    <row r="16" spans="1:8" ht="12.75" customHeight="1" x14ac:dyDescent="0.2">
      <c r="A16" s="5" t="s">
        <v>15</v>
      </c>
      <c r="B16" s="201" t="s">
        <v>16</v>
      </c>
      <c r="C16" s="201"/>
      <c r="D16" s="7"/>
      <c r="G16" s="140"/>
      <c r="H16" s="142"/>
    </row>
    <row r="17" spans="1:4" ht="12.75" customHeight="1" x14ac:dyDescent="0.2">
      <c r="A17" s="5" t="s">
        <v>17</v>
      </c>
      <c r="B17" s="201" t="s">
        <v>18</v>
      </c>
      <c r="C17" s="201"/>
      <c r="D17" s="7"/>
    </row>
    <row r="18" spans="1:4" x14ac:dyDescent="0.2">
      <c r="A18" s="5"/>
      <c r="B18" s="201"/>
      <c r="C18" s="201"/>
      <c r="D18" s="7"/>
    </row>
    <row r="19" spans="1:4" ht="12.75" customHeight="1" x14ac:dyDescent="0.2">
      <c r="A19" s="5" t="s">
        <v>19</v>
      </c>
      <c r="B19" s="201" t="s">
        <v>20</v>
      </c>
      <c r="C19" s="201"/>
      <c r="D19" s="7"/>
    </row>
    <row r="20" spans="1:4" ht="12.75" customHeight="1" x14ac:dyDescent="0.2">
      <c r="A20" s="200" t="s">
        <v>21</v>
      </c>
      <c r="B20" s="200"/>
      <c r="C20" s="200"/>
      <c r="D20" s="8">
        <f>SUM(D13:D19)</f>
        <v>11035.36</v>
      </c>
    </row>
    <row r="23" spans="1:4" x14ac:dyDescent="0.2">
      <c r="A23" s="196" t="s">
        <v>22</v>
      </c>
      <c r="B23" s="196"/>
      <c r="C23" s="196"/>
      <c r="D23" s="196"/>
    </row>
    <row r="24" spans="1:4" x14ac:dyDescent="0.2">
      <c r="A24" s="9"/>
    </row>
    <row r="25" spans="1:4" x14ac:dyDescent="0.2">
      <c r="A25" s="202" t="s">
        <v>23</v>
      </c>
      <c r="B25" s="202"/>
      <c r="C25" s="202"/>
      <c r="D25" s="202"/>
    </row>
    <row r="27" spans="1:4" ht="12.75" customHeight="1" x14ac:dyDescent="0.2">
      <c r="A27" s="4" t="s">
        <v>24</v>
      </c>
      <c r="B27" s="200" t="s">
        <v>25</v>
      </c>
      <c r="C27" s="200"/>
      <c r="D27" s="4" t="s">
        <v>8</v>
      </c>
    </row>
    <row r="28" spans="1:4" x14ac:dyDescent="0.2">
      <c r="A28" s="5" t="s">
        <v>9</v>
      </c>
      <c r="B28" s="6" t="s">
        <v>26</v>
      </c>
      <c r="C28" s="10">
        <f>1/12</f>
        <v>8.3333333333333329E-2</v>
      </c>
      <c r="D28" s="7">
        <f>TRUNC($D$20*C28,2)</f>
        <v>919.61</v>
      </c>
    </row>
    <row r="29" spans="1:4" x14ac:dyDescent="0.2">
      <c r="A29" s="5" t="s">
        <v>11</v>
      </c>
      <c r="B29" s="6" t="s">
        <v>27</v>
      </c>
      <c r="C29" s="10">
        <f>(1/12)*(4/3)</f>
        <v>0.1111111111111111</v>
      </c>
      <c r="D29" s="7">
        <f>TRUNC($D$20*C29,2)</f>
        <v>1226.1500000000001</v>
      </c>
    </row>
    <row r="30" spans="1:4" ht="12.75" customHeight="1" x14ac:dyDescent="0.2">
      <c r="A30" s="200" t="s">
        <v>21</v>
      </c>
      <c r="B30" s="200"/>
      <c r="C30" s="200"/>
      <c r="D30" s="11">
        <f>SUM(D28:D29)</f>
        <v>2145.7600000000002</v>
      </c>
    </row>
    <row r="33" spans="1:4" ht="12.75" customHeight="1" x14ac:dyDescent="0.2">
      <c r="A33" s="203" t="s">
        <v>28</v>
      </c>
      <c r="B33" s="203"/>
      <c r="C33" s="203"/>
      <c r="D33" s="203"/>
    </row>
    <row r="35" spans="1:4" x14ac:dyDescent="0.2">
      <c r="A35" s="4" t="s">
        <v>29</v>
      </c>
      <c r="B35" s="4" t="s">
        <v>30</v>
      </c>
      <c r="C35" s="4" t="s">
        <v>31</v>
      </c>
      <c r="D35" s="4" t="s">
        <v>8</v>
      </c>
    </row>
    <row r="36" spans="1:4" x14ac:dyDescent="0.2">
      <c r="A36" s="5" t="s">
        <v>9</v>
      </c>
      <c r="B36" s="6" t="s">
        <v>32</v>
      </c>
      <c r="C36" s="12">
        <v>0.2</v>
      </c>
      <c r="D36" s="7">
        <f t="shared" ref="D36:D43" si="0">TRUNC(($D$20+$D$30)*C36,2)</f>
        <v>2636.22</v>
      </c>
    </row>
    <row r="37" spans="1:4" x14ac:dyDescent="0.2">
      <c r="A37" s="5" t="s">
        <v>11</v>
      </c>
      <c r="B37" s="6" t="s">
        <v>33</v>
      </c>
      <c r="C37" s="12">
        <v>2.5000000000000001E-2</v>
      </c>
      <c r="D37" s="7">
        <f t="shared" si="0"/>
        <v>329.52</v>
      </c>
    </row>
    <row r="38" spans="1:4" x14ac:dyDescent="0.2">
      <c r="A38" s="5" t="s">
        <v>13</v>
      </c>
      <c r="B38" s="6" t="s">
        <v>34</v>
      </c>
      <c r="C38" s="13">
        <v>0.03</v>
      </c>
      <c r="D38" s="7">
        <f t="shared" si="0"/>
        <v>395.43</v>
      </c>
    </row>
    <row r="39" spans="1:4" x14ac:dyDescent="0.2">
      <c r="A39" s="5" t="s">
        <v>15</v>
      </c>
      <c r="B39" s="6" t="s">
        <v>35</v>
      </c>
      <c r="C39" s="12">
        <v>1.4999999999999999E-2</v>
      </c>
      <c r="D39" s="7">
        <f t="shared" si="0"/>
        <v>197.71</v>
      </c>
    </row>
    <row r="40" spans="1:4" x14ac:dyDescent="0.2">
      <c r="A40" s="5" t="s">
        <v>17</v>
      </c>
      <c r="B40" s="6" t="s">
        <v>36</v>
      </c>
      <c r="C40" s="12">
        <v>0.01</v>
      </c>
      <c r="D40" s="7">
        <f t="shared" si="0"/>
        <v>131.81</v>
      </c>
    </row>
    <row r="41" spans="1:4" x14ac:dyDescent="0.2">
      <c r="A41" s="5" t="s">
        <v>37</v>
      </c>
      <c r="B41" s="6" t="s">
        <v>38</v>
      </c>
      <c r="C41" s="12">
        <v>6.0000000000000001E-3</v>
      </c>
      <c r="D41" s="7">
        <f t="shared" si="0"/>
        <v>79.08</v>
      </c>
    </row>
    <row r="42" spans="1:4" x14ac:dyDescent="0.2">
      <c r="A42" s="5" t="s">
        <v>19</v>
      </c>
      <c r="B42" s="6" t="s">
        <v>39</v>
      </c>
      <c r="C42" s="12">
        <v>2E-3</v>
      </c>
      <c r="D42" s="7">
        <f t="shared" si="0"/>
        <v>26.36</v>
      </c>
    </row>
    <row r="43" spans="1:4" x14ac:dyDescent="0.2">
      <c r="A43" s="5" t="s">
        <v>40</v>
      </c>
      <c r="B43" s="6" t="s">
        <v>41</v>
      </c>
      <c r="C43" s="12">
        <v>0.08</v>
      </c>
      <c r="D43" s="7">
        <f t="shared" si="0"/>
        <v>1054.48</v>
      </c>
    </row>
    <row r="44" spans="1:4" ht="12.75" customHeight="1" x14ac:dyDescent="0.2">
      <c r="A44" s="200" t="s">
        <v>42</v>
      </c>
      <c r="B44" s="200"/>
      <c r="C44" s="14">
        <f>SUM(C36:C43)</f>
        <v>0.36800000000000005</v>
      </c>
      <c r="D44" s="11">
        <f>SUM(D36:D43)</f>
        <v>4850.6099999999997</v>
      </c>
    </row>
    <row r="47" spans="1:4" x14ac:dyDescent="0.2">
      <c r="A47" s="202" t="s">
        <v>43</v>
      </c>
      <c r="B47" s="202"/>
      <c r="C47" s="202"/>
      <c r="D47" s="202"/>
    </row>
    <row r="49" spans="1:4" ht="12.75" customHeight="1" x14ac:dyDescent="0.2">
      <c r="A49" s="4" t="s">
        <v>44</v>
      </c>
      <c r="B49" s="204" t="s">
        <v>45</v>
      </c>
      <c r="C49" s="204"/>
      <c r="D49" s="4" t="s">
        <v>8</v>
      </c>
    </row>
    <row r="50" spans="1:4" ht="12.75" customHeight="1" x14ac:dyDescent="0.2">
      <c r="A50" s="5" t="s">
        <v>9</v>
      </c>
      <c r="B50" s="201" t="s">
        <v>46</v>
      </c>
      <c r="C50" s="201"/>
      <c r="D50" s="7">
        <f>IF(((44*3.7)-(D13*0.06))&gt;0,((44*3.7)-(D13*0.06)),0)</f>
        <v>0</v>
      </c>
    </row>
    <row r="51" spans="1:4" ht="12.75" customHeight="1" x14ac:dyDescent="0.2">
      <c r="A51" s="5" t="s">
        <v>11</v>
      </c>
      <c r="B51" s="201" t="s">
        <v>47</v>
      </c>
      <c r="C51" s="201"/>
      <c r="D51" s="7">
        <v>0</v>
      </c>
    </row>
    <row r="52" spans="1:4" ht="12.75" customHeight="1" x14ac:dyDescent="0.2">
      <c r="A52" s="5" t="s">
        <v>13</v>
      </c>
      <c r="B52" s="201" t="s">
        <v>48</v>
      </c>
      <c r="C52" s="201"/>
      <c r="D52" s="7">
        <v>0</v>
      </c>
    </row>
    <row r="53" spans="1:4" ht="12.75" customHeight="1" x14ac:dyDescent="0.2">
      <c r="A53" s="5" t="s">
        <v>15</v>
      </c>
      <c r="B53" s="201" t="s">
        <v>49</v>
      </c>
      <c r="C53" s="201"/>
      <c r="D53" s="7">
        <v>0</v>
      </c>
    </row>
    <row r="54" spans="1:4" ht="12.75" customHeight="1" x14ac:dyDescent="0.2">
      <c r="A54" s="5" t="s">
        <v>17</v>
      </c>
      <c r="B54" s="201" t="s">
        <v>50</v>
      </c>
      <c r="C54" s="201"/>
      <c r="D54" s="7">
        <v>0</v>
      </c>
    </row>
    <row r="55" spans="1:4" ht="12.75" customHeight="1" x14ac:dyDescent="0.2">
      <c r="A55" s="200" t="s">
        <v>21</v>
      </c>
      <c r="B55" s="200"/>
      <c r="C55" s="200"/>
      <c r="D55" s="11">
        <f>SUM(D50:D54)</f>
        <v>0</v>
      </c>
    </row>
    <row r="58" spans="1:4" x14ac:dyDescent="0.2">
      <c r="A58" s="202" t="s">
        <v>51</v>
      </c>
      <c r="B58" s="202"/>
      <c r="C58" s="202"/>
      <c r="D58" s="202"/>
    </row>
    <row r="60" spans="1:4" ht="12.75" customHeight="1" x14ac:dyDescent="0.2">
      <c r="A60" s="4">
        <v>2</v>
      </c>
      <c r="B60" s="204" t="s">
        <v>52</v>
      </c>
      <c r="C60" s="204"/>
      <c r="D60" s="4" t="s">
        <v>8</v>
      </c>
    </row>
    <row r="61" spans="1:4" ht="12.75" customHeight="1" x14ac:dyDescent="0.2">
      <c r="A61" s="5" t="s">
        <v>24</v>
      </c>
      <c r="B61" s="201" t="s">
        <v>25</v>
      </c>
      <c r="C61" s="201"/>
      <c r="D61" s="15">
        <f>D30</f>
        <v>2145.7600000000002</v>
      </c>
    </row>
    <row r="62" spans="1:4" ht="12.75" customHeight="1" x14ac:dyDescent="0.2">
      <c r="A62" s="5" t="s">
        <v>29</v>
      </c>
      <c r="B62" s="201" t="s">
        <v>30</v>
      </c>
      <c r="C62" s="201"/>
      <c r="D62" s="15">
        <f>D44</f>
        <v>4850.6099999999997</v>
      </c>
    </row>
    <row r="63" spans="1:4" ht="12.75" customHeight="1" x14ac:dyDescent="0.2">
      <c r="A63" s="5" t="s">
        <v>44</v>
      </c>
      <c r="B63" s="201" t="s">
        <v>45</v>
      </c>
      <c r="C63" s="201"/>
      <c r="D63" s="15">
        <f>D55</f>
        <v>0</v>
      </c>
    </row>
    <row r="64" spans="1:4" ht="12.75" customHeight="1" x14ac:dyDescent="0.2">
      <c r="A64" s="200" t="s">
        <v>21</v>
      </c>
      <c r="B64" s="200"/>
      <c r="C64" s="200"/>
      <c r="D64" s="11">
        <f>SUM(D61:D63)</f>
        <v>6996.37</v>
      </c>
    </row>
    <row r="65" spans="1:5" x14ac:dyDescent="0.2">
      <c r="A65" s="16"/>
    </row>
    <row r="67" spans="1:5" x14ac:dyDescent="0.2">
      <c r="A67" s="196" t="s">
        <v>53</v>
      </c>
      <c r="B67" s="196"/>
      <c r="C67" s="196"/>
      <c r="D67" s="196"/>
    </row>
    <row r="69" spans="1:5" ht="12.75" customHeight="1" x14ac:dyDescent="0.2">
      <c r="A69" s="4">
        <v>3</v>
      </c>
      <c r="B69" s="204" t="s">
        <v>54</v>
      </c>
      <c r="C69" s="204"/>
      <c r="D69" s="4" t="s">
        <v>8</v>
      </c>
    </row>
    <row r="70" spans="1:5" x14ac:dyDescent="0.2">
      <c r="A70" s="5" t="s">
        <v>9</v>
      </c>
      <c r="B70" s="17" t="s">
        <v>55</v>
      </c>
      <c r="C70" s="12">
        <f>TRUNC(((1/12)*5%),4)</f>
        <v>4.1000000000000003E-3</v>
      </c>
      <c r="D70" s="7">
        <f>TRUNC($D$20*C70,2)</f>
        <v>45.24</v>
      </c>
    </row>
    <row r="71" spans="1:5" x14ac:dyDescent="0.2">
      <c r="A71" s="5" t="s">
        <v>11</v>
      </c>
      <c r="B71" s="17" t="s">
        <v>56</v>
      </c>
      <c r="C71" s="12">
        <v>0.08</v>
      </c>
      <c r="D71" s="18">
        <f>TRUNC(D70*C71,2)</f>
        <v>3.61</v>
      </c>
      <c r="E71" s="19"/>
    </row>
    <row r="72" spans="1:5" x14ac:dyDescent="0.2">
      <c r="A72" s="5" t="s">
        <v>13</v>
      </c>
      <c r="B72" s="17" t="s">
        <v>57</v>
      </c>
      <c r="C72" s="12">
        <f>TRUNC(8%*5%*40%,4)</f>
        <v>1.6000000000000001E-3</v>
      </c>
      <c r="D72" s="7">
        <f>TRUNC($D$20*C72,2)</f>
        <v>17.649999999999999</v>
      </c>
    </row>
    <row r="73" spans="1:5" x14ac:dyDescent="0.2">
      <c r="A73" s="5" t="s">
        <v>15</v>
      </c>
      <c r="B73" s="17" t="s">
        <v>58</v>
      </c>
      <c r="C73" s="12">
        <f>TRUNC(((7/30)/12)*95%,4)</f>
        <v>1.84E-2</v>
      </c>
      <c r="D73" s="18">
        <f>TRUNC($D$20*C73,2)</f>
        <v>203.05</v>
      </c>
      <c r="E73" s="20"/>
    </row>
    <row r="74" spans="1:5" ht="12.75" customHeight="1" x14ac:dyDescent="0.2">
      <c r="A74" s="5" t="s">
        <v>17</v>
      </c>
      <c r="B74" s="17" t="s">
        <v>59</v>
      </c>
      <c r="C74" s="12">
        <f>C44</f>
        <v>0.36800000000000005</v>
      </c>
      <c r="D74" s="18">
        <f>TRUNC(D73*C74,2)</f>
        <v>74.72</v>
      </c>
      <c r="E74" s="19"/>
    </row>
    <row r="75" spans="1:5" x14ac:dyDescent="0.2">
      <c r="A75" s="5" t="s">
        <v>37</v>
      </c>
      <c r="B75" s="17" t="s">
        <v>60</v>
      </c>
      <c r="C75" s="12">
        <f>TRUNC(8%*95%*40%,4)</f>
        <v>3.04E-2</v>
      </c>
      <c r="D75" s="7">
        <f>TRUNC($D$20*C75,2)</f>
        <v>335.47</v>
      </c>
    </row>
    <row r="76" spans="1:5" ht="12.75" customHeight="1" x14ac:dyDescent="0.2">
      <c r="A76" s="200" t="s">
        <v>21</v>
      </c>
      <c r="B76" s="200"/>
      <c r="C76" s="200"/>
      <c r="D76" s="11">
        <f>SUM(D70:D75)</f>
        <v>679.74</v>
      </c>
    </row>
    <row r="79" spans="1:5" x14ac:dyDescent="0.2">
      <c r="A79" s="196" t="s">
        <v>61</v>
      </c>
      <c r="B79" s="196"/>
      <c r="C79" s="196"/>
      <c r="D79" s="196"/>
    </row>
    <row r="82" spans="1:4" x14ac:dyDescent="0.2">
      <c r="A82" s="202" t="s">
        <v>62</v>
      </c>
      <c r="B82" s="202"/>
      <c r="C82" s="202"/>
      <c r="D82" s="202"/>
    </row>
    <row r="83" spans="1:4" x14ac:dyDescent="0.2">
      <c r="A83" s="9"/>
    </row>
    <row r="84" spans="1:4" ht="12.75" customHeight="1" x14ac:dyDescent="0.2">
      <c r="A84" s="4" t="s">
        <v>63</v>
      </c>
      <c r="B84" s="204" t="s">
        <v>64</v>
      </c>
      <c r="C84" s="204"/>
      <c r="D84" s="4" t="s">
        <v>8</v>
      </c>
    </row>
    <row r="85" spans="1:4" x14ac:dyDescent="0.2">
      <c r="A85" s="5" t="s">
        <v>9</v>
      </c>
      <c r="B85" s="6" t="s">
        <v>65</v>
      </c>
      <c r="C85" s="12">
        <f>TRUNC(((1+1/3)/12)/12,4)</f>
        <v>9.1999999999999998E-3</v>
      </c>
      <c r="D85" s="7">
        <f t="shared" ref="D85:D90" si="1">TRUNC(($D$20+$D$64+$D$76)*C85,2)</f>
        <v>172.14</v>
      </c>
    </row>
    <row r="86" spans="1:4" x14ac:dyDescent="0.2">
      <c r="A86" s="5" t="s">
        <v>11</v>
      </c>
      <c r="B86" s="6" t="s">
        <v>66</v>
      </c>
      <c r="C86" s="12">
        <f>TRUNC(((2/30)/12),4)</f>
        <v>5.4999999999999997E-3</v>
      </c>
      <c r="D86" s="7">
        <f t="shared" si="1"/>
        <v>102.91</v>
      </c>
    </row>
    <row r="87" spans="1:4" x14ac:dyDescent="0.2">
      <c r="A87" s="5" t="s">
        <v>13</v>
      </c>
      <c r="B87" s="6" t="s">
        <v>67</v>
      </c>
      <c r="C87" s="12">
        <f>TRUNC(((5/30)/12)*2%,4)</f>
        <v>2.0000000000000001E-4</v>
      </c>
      <c r="D87" s="7">
        <f t="shared" si="1"/>
        <v>3.74</v>
      </c>
    </row>
    <row r="88" spans="1:4" x14ac:dyDescent="0.2">
      <c r="A88" s="5" t="s">
        <v>15</v>
      </c>
      <c r="B88" s="6" t="s">
        <v>68</v>
      </c>
      <c r="C88" s="12">
        <f>TRUNC(((15/30)/12)*8%,4)</f>
        <v>3.3E-3</v>
      </c>
      <c r="D88" s="7">
        <f t="shared" si="1"/>
        <v>61.74</v>
      </c>
    </row>
    <row r="89" spans="1:4" x14ac:dyDescent="0.2">
      <c r="A89" s="5" t="s">
        <v>17</v>
      </c>
      <c r="B89" s="6" t="s">
        <v>69</v>
      </c>
      <c r="C89" s="12">
        <f>((1+1/3)/12)*3%*(4/12)</f>
        <v>1.1111111111111109E-3</v>
      </c>
      <c r="D89" s="7">
        <f t="shared" si="1"/>
        <v>20.79</v>
      </c>
    </row>
    <row r="90" spans="1:4" x14ac:dyDescent="0.2">
      <c r="A90" s="5" t="s">
        <v>37</v>
      </c>
      <c r="B90" s="6" t="s">
        <v>70</v>
      </c>
      <c r="C90" s="12">
        <v>1.3899999999999999E-2</v>
      </c>
      <c r="D90" s="7">
        <f t="shared" si="1"/>
        <v>260.08</v>
      </c>
    </row>
    <row r="91" spans="1:4" ht="12.75" customHeight="1" x14ac:dyDescent="0.2">
      <c r="A91" s="200" t="s">
        <v>42</v>
      </c>
      <c r="B91" s="200"/>
      <c r="C91" s="200"/>
      <c r="D91" s="11">
        <f>SUM(D85:D90)</f>
        <v>621.4</v>
      </c>
    </row>
    <row r="94" spans="1:4" x14ac:dyDescent="0.2">
      <c r="A94" s="202" t="s">
        <v>71</v>
      </c>
      <c r="B94" s="202"/>
      <c r="C94" s="202"/>
      <c r="D94" s="202"/>
    </row>
    <row r="95" spans="1:4" x14ac:dyDescent="0.2">
      <c r="A95" s="9"/>
    </row>
    <row r="96" spans="1:4" ht="12.75" customHeight="1" x14ac:dyDescent="0.2">
      <c r="A96" s="4" t="s">
        <v>72</v>
      </c>
      <c r="B96" s="204" t="s">
        <v>73</v>
      </c>
      <c r="C96" s="204"/>
      <c r="D96" s="4" t="s">
        <v>8</v>
      </c>
    </row>
    <row r="97" spans="1:6" ht="12.75" customHeight="1" x14ac:dyDescent="0.2">
      <c r="A97" s="5" t="s">
        <v>9</v>
      </c>
      <c r="B97" s="201" t="s">
        <v>74</v>
      </c>
      <c r="C97" s="201"/>
      <c r="D97" s="7">
        <f>((D20+D64+D76)/220)*22*0</f>
        <v>0</v>
      </c>
      <c r="E97" s="20"/>
      <c r="F97" s="20"/>
    </row>
    <row r="98" spans="1:6" ht="12.75" customHeight="1" x14ac:dyDescent="0.2">
      <c r="A98" s="200" t="s">
        <v>21</v>
      </c>
      <c r="B98" s="200"/>
      <c r="C98" s="200"/>
      <c r="D98" s="11">
        <f>SUM(D97)</f>
        <v>0</v>
      </c>
    </row>
    <row r="101" spans="1:6" x14ac:dyDescent="0.2">
      <c r="A101" s="202" t="s">
        <v>75</v>
      </c>
      <c r="B101" s="202"/>
      <c r="C101" s="202"/>
      <c r="D101" s="202"/>
    </row>
    <row r="102" spans="1:6" x14ac:dyDescent="0.2">
      <c r="A102" s="9"/>
    </row>
    <row r="103" spans="1:6" ht="12.75" customHeight="1" x14ac:dyDescent="0.2">
      <c r="A103" s="4">
        <v>4</v>
      </c>
      <c r="B103" s="200" t="s">
        <v>76</v>
      </c>
      <c r="C103" s="200"/>
      <c r="D103" s="4" t="s">
        <v>8</v>
      </c>
    </row>
    <row r="104" spans="1:6" ht="12.75" customHeight="1" x14ac:dyDescent="0.2">
      <c r="A104" s="5" t="s">
        <v>63</v>
      </c>
      <c r="B104" s="201" t="s">
        <v>64</v>
      </c>
      <c r="C104" s="201"/>
      <c r="D104" s="15">
        <f>D91</f>
        <v>621.4</v>
      </c>
    </row>
    <row r="105" spans="1:6" ht="12.75" customHeight="1" x14ac:dyDescent="0.2">
      <c r="A105" s="5" t="s">
        <v>72</v>
      </c>
      <c r="B105" s="201" t="s">
        <v>73</v>
      </c>
      <c r="C105" s="201"/>
      <c r="D105" s="15">
        <f>D98</f>
        <v>0</v>
      </c>
    </row>
    <row r="106" spans="1:6" ht="12.75" customHeight="1" x14ac:dyDescent="0.2">
      <c r="A106" s="200" t="s">
        <v>21</v>
      </c>
      <c r="B106" s="200"/>
      <c r="C106" s="200"/>
      <c r="D106" s="11">
        <f>SUM(D104:D105)</f>
        <v>621.4</v>
      </c>
    </row>
    <row r="109" spans="1:6" x14ac:dyDescent="0.2">
      <c r="A109" s="196" t="s">
        <v>77</v>
      </c>
      <c r="B109" s="196"/>
      <c r="C109" s="196"/>
      <c r="D109" s="196"/>
    </row>
    <row r="111" spans="1:6" ht="12.75" customHeight="1" x14ac:dyDescent="0.2">
      <c r="A111" s="4">
        <v>5</v>
      </c>
      <c r="B111" s="205" t="s">
        <v>78</v>
      </c>
      <c r="C111" s="205"/>
      <c r="D111" s="4" t="s">
        <v>8</v>
      </c>
    </row>
    <row r="112" spans="1:6" x14ac:dyDescent="0.2">
      <c r="A112" s="5" t="s">
        <v>9</v>
      </c>
      <c r="B112" s="6" t="s">
        <v>79</v>
      </c>
      <c r="C112" s="6"/>
      <c r="D112" s="7">
        <v>0</v>
      </c>
    </row>
    <row r="113" spans="1:4" x14ac:dyDescent="0.2">
      <c r="A113" s="5" t="s">
        <v>11</v>
      </c>
      <c r="B113" s="6" t="s">
        <v>180</v>
      </c>
      <c r="C113" s="6"/>
      <c r="D113" s="143">
        <v>243</v>
      </c>
    </row>
    <row r="114" spans="1:4" x14ac:dyDescent="0.2">
      <c r="A114" s="5" t="s">
        <v>13</v>
      </c>
      <c r="B114" s="6" t="s">
        <v>80</v>
      </c>
      <c r="C114" s="6"/>
      <c r="D114" s="7">
        <f>EPIs!F13</f>
        <v>15.119979000000001</v>
      </c>
    </row>
    <row r="115" spans="1:4" x14ac:dyDescent="0.2">
      <c r="A115" s="5" t="s">
        <v>15</v>
      </c>
      <c r="B115" s="6" t="s">
        <v>81</v>
      </c>
      <c r="C115" s="6"/>
      <c r="D115" s="143">
        <v>233.94</v>
      </c>
    </row>
    <row r="116" spans="1:4" ht="12.75" customHeight="1" x14ac:dyDescent="0.2">
      <c r="A116" s="200" t="s">
        <v>42</v>
      </c>
      <c r="B116" s="200"/>
      <c r="C116" s="200"/>
      <c r="D116" s="8">
        <f>SUM(D112:D115)</f>
        <v>492.059979</v>
      </c>
    </row>
    <row r="119" spans="1:4" x14ac:dyDescent="0.2">
      <c r="A119" s="196" t="s">
        <v>82</v>
      </c>
      <c r="B119" s="196"/>
      <c r="C119" s="196"/>
      <c r="D119" s="196"/>
    </row>
    <row r="121" spans="1:4" x14ac:dyDescent="0.2">
      <c r="A121" s="4">
        <v>6</v>
      </c>
      <c r="B121" s="21" t="s">
        <v>83</v>
      </c>
      <c r="C121" s="4" t="s">
        <v>31</v>
      </c>
      <c r="D121" s="4" t="s">
        <v>8</v>
      </c>
    </row>
    <row r="122" spans="1:4" x14ac:dyDescent="0.2">
      <c r="A122" s="5" t="s">
        <v>9</v>
      </c>
      <c r="B122" s="6" t="s">
        <v>84</v>
      </c>
      <c r="C122" s="12">
        <v>7.6999999999999999E-2</v>
      </c>
      <c r="D122" s="15">
        <f>D139*C122</f>
        <v>1526.5196083830003</v>
      </c>
    </row>
    <row r="123" spans="1:4" x14ac:dyDescent="0.2">
      <c r="A123" s="5" t="s">
        <v>11</v>
      </c>
      <c r="B123" s="6" t="s">
        <v>85</v>
      </c>
      <c r="C123" s="12">
        <v>0.06</v>
      </c>
      <c r="D123" s="7">
        <f>(D139+D122)*C123</f>
        <v>1281.0869752429803</v>
      </c>
    </row>
    <row r="124" spans="1:4" x14ac:dyDescent="0.2">
      <c r="A124" s="5" t="s">
        <v>13</v>
      </c>
      <c r="B124" s="6" t="s">
        <v>86</v>
      </c>
      <c r="C124" s="10">
        <f>SUM(C125:C127)</f>
        <v>8.6499999999999994E-2</v>
      </c>
      <c r="D124" s="7">
        <f>(D139+D122+D123)*C124/(1-C124)</f>
        <v>2143.0918584205228</v>
      </c>
    </row>
    <row r="125" spans="1:4" x14ac:dyDescent="0.2">
      <c r="A125" s="5"/>
      <c r="B125" s="6" t="s">
        <v>87</v>
      </c>
      <c r="C125" s="12">
        <v>3.6499999999999998E-2</v>
      </c>
      <c r="D125" s="15">
        <f>$D$141*C125</f>
        <v>904.31043736819754</v>
      </c>
    </row>
    <row r="126" spans="1:4" x14ac:dyDescent="0.2">
      <c r="A126" s="5"/>
      <c r="B126" s="6" t="s">
        <v>88</v>
      </c>
      <c r="C126" s="5"/>
      <c r="D126" s="15">
        <f>$D$141*C126</f>
        <v>0</v>
      </c>
    </row>
    <row r="127" spans="1:4" x14ac:dyDescent="0.2">
      <c r="A127" s="5"/>
      <c r="B127" s="6" t="s">
        <v>89</v>
      </c>
      <c r="C127" s="12">
        <v>0.05</v>
      </c>
      <c r="D127" s="15">
        <f>$D$141*C127</f>
        <v>1238.7814210523256</v>
      </c>
    </row>
    <row r="128" spans="1:4" ht="13.5" customHeight="1" x14ac:dyDescent="0.2">
      <c r="A128" s="206" t="s">
        <v>42</v>
      </c>
      <c r="B128" s="206"/>
      <c r="C128" s="22">
        <f>(1+C123)*(1+C122)/(1-C124)-1</f>
        <v>0.24972085385878495</v>
      </c>
      <c r="D128" s="11">
        <f>SUM(D122:D124)</f>
        <v>4950.6984420465033</v>
      </c>
    </row>
    <row r="131" spans="1:4" x14ac:dyDescent="0.2">
      <c r="A131" s="196" t="s">
        <v>90</v>
      </c>
      <c r="B131" s="196"/>
      <c r="C131" s="196"/>
      <c r="D131" s="196"/>
    </row>
    <row r="133" spans="1:4" ht="12.75" customHeight="1" x14ac:dyDescent="0.2">
      <c r="A133" s="4"/>
      <c r="B133" s="200" t="s">
        <v>91</v>
      </c>
      <c r="C133" s="200"/>
      <c r="D133" s="4" t="s">
        <v>8</v>
      </c>
    </row>
    <row r="134" spans="1:4" ht="12.75" customHeight="1" x14ac:dyDescent="0.2">
      <c r="A134" s="4" t="s">
        <v>9</v>
      </c>
      <c r="B134" s="201" t="s">
        <v>6</v>
      </c>
      <c r="C134" s="201"/>
      <c r="D134" s="23">
        <f>D20</f>
        <v>11035.36</v>
      </c>
    </row>
    <row r="135" spans="1:4" ht="12.75" customHeight="1" x14ac:dyDescent="0.2">
      <c r="A135" s="4" t="s">
        <v>11</v>
      </c>
      <c r="B135" s="201" t="s">
        <v>22</v>
      </c>
      <c r="C135" s="201"/>
      <c r="D135" s="23">
        <f>D64</f>
        <v>6996.37</v>
      </c>
    </row>
    <row r="136" spans="1:4" ht="12.75" customHeight="1" x14ac:dyDescent="0.2">
      <c r="A136" s="4" t="s">
        <v>13</v>
      </c>
      <c r="B136" s="201" t="s">
        <v>53</v>
      </c>
      <c r="C136" s="201"/>
      <c r="D136" s="23">
        <f>D76</f>
        <v>679.74</v>
      </c>
    </row>
    <row r="137" spans="1:4" ht="12.75" customHeight="1" x14ac:dyDescent="0.2">
      <c r="A137" s="4" t="s">
        <v>15</v>
      </c>
      <c r="B137" s="201" t="s">
        <v>61</v>
      </c>
      <c r="C137" s="201"/>
      <c r="D137" s="23">
        <f>D106</f>
        <v>621.4</v>
      </c>
    </row>
    <row r="138" spans="1:4" ht="12.75" customHeight="1" x14ac:dyDescent="0.2">
      <c r="A138" s="4" t="s">
        <v>17</v>
      </c>
      <c r="B138" s="201" t="s">
        <v>77</v>
      </c>
      <c r="C138" s="201"/>
      <c r="D138" s="23">
        <f>D116</f>
        <v>492.059979</v>
      </c>
    </row>
    <row r="139" spans="1:4" ht="12.75" customHeight="1" x14ac:dyDescent="0.2">
      <c r="A139" s="200" t="s">
        <v>92</v>
      </c>
      <c r="B139" s="200"/>
      <c r="C139" s="200"/>
      <c r="D139" s="24">
        <f>SUM(D134:D138)</f>
        <v>19824.929979000004</v>
      </c>
    </row>
    <row r="140" spans="1:4" ht="12.75" customHeight="1" x14ac:dyDescent="0.2">
      <c r="A140" s="4" t="s">
        <v>37</v>
      </c>
      <c r="B140" s="201" t="s">
        <v>93</v>
      </c>
      <c r="C140" s="201"/>
      <c r="D140" s="25">
        <f>D128</f>
        <v>4950.6984420465033</v>
      </c>
    </row>
    <row r="141" spans="1:4" ht="12.75" customHeight="1" x14ac:dyDescent="0.2">
      <c r="A141" s="200" t="s">
        <v>94</v>
      </c>
      <c r="B141" s="200"/>
      <c r="C141" s="200"/>
      <c r="D141" s="24">
        <f>SUM(D139:D140)</f>
        <v>24775.628421046509</v>
      </c>
    </row>
  </sheetData>
  <mergeCells count="67">
    <mergeCell ref="B140:C140"/>
    <mergeCell ref="A141:C141"/>
    <mergeCell ref="B135:C135"/>
    <mergeCell ref="B136:C136"/>
    <mergeCell ref="B137:C137"/>
    <mergeCell ref="B138:C138"/>
    <mergeCell ref="A139:C139"/>
    <mergeCell ref="A119:D119"/>
    <mergeCell ref="A128:B128"/>
    <mergeCell ref="A131:D131"/>
    <mergeCell ref="B133:C133"/>
    <mergeCell ref="B134:C134"/>
    <mergeCell ref="B105:C105"/>
    <mergeCell ref="A106:C106"/>
    <mergeCell ref="A109:D109"/>
    <mergeCell ref="B111:C111"/>
    <mergeCell ref="A116:C116"/>
    <mergeCell ref="B97:C97"/>
    <mergeCell ref="A98:C98"/>
    <mergeCell ref="A101:D101"/>
    <mergeCell ref="B103:C103"/>
    <mergeCell ref="B104:C104"/>
    <mergeCell ref="A82:D82"/>
    <mergeCell ref="B84:C84"/>
    <mergeCell ref="A91:C91"/>
    <mergeCell ref="A94:D94"/>
    <mergeCell ref="B96:C96"/>
    <mergeCell ref="A64:C64"/>
    <mergeCell ref="A67:D67"/>
    <mergeCell ref="B69:C69"/>
    <mergeCell ref="A76:C76"/>
    <mergeCell ref="A79:D79"/>
    <mergeCell ref="A58:D58"/>
    <mergeCell ref="B60:C60"/>
    <mergeCell ref="B61:C61"/>
    <mergeCell ref="B62:C62"/>
    <mergeCell ref="B63:C63"/>
    <mergeCell ref="B51:C51"/>
    <mergeCell ref="B52:C52"/>
    <mergeCell ref="B53:C53"/>
    <mergeCell ref="B54:C54"/>
    <mergeCell ref="A55:C55"/>
    <mergeCell ref="A33:D33"/>
    <mergeCell ref="A44:B44"/>
    <mergeCell ref="A47:D47"/>
    <mergeCell ref="B49:C49"/>
    <mergeCell ref="B50:C50"/>
    <mergeCell ref="A20:C20"/>
    <mergeCell ref="A23:D23"/>
    <mergeCell ref="A25:D25"/>
    <mergeCell ref="B27:C27"/>
    <mergeCell ref="A30:C30"/>
    <mergeCell ref="B15:C15"/>
    <mergeCell ref="B16:C16"/>
    <mergeCell ref="B17:C17"/>
    <mergeCell ref="B18:C18"/>
    <mergeCell ref="B19:C19"/>
    <mergeCell ref="C8:D8"/>
    <mergeCell ref="A10:D10"/>
    <mergeCell ref="B12:C12"/>
    <mergeCell ref="B13:C13"/>
    <mergeCell ref="B14:C14"/>
    <mergeCell ref="A1:D1"/>
    <mergeCell ref="A3:D3"/>
    <mergeCell ref="C5:D5"/>
    <mergeCell ref="C6:D6"/>
    <mergeCell ref="C7:D7"/>
  </mergeCells>
  <pageMargins left="0.51180555555555496" right="0.51180555555555496" top="0.78749999999999998" bottom="0.78749999999999998" header="0.51180555555555496" footer="0.51180555555555496"/>
  <pageSetup paperSize="9" scale="88" firstPageNumber="0" fitToHeight="0" orientation="portrait" r:id="rId1"/>
  <rowBreaks count="1" manualBreakCount="1">
    <brk id="6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41"/>
  <sheetViews>
    <sheetView view="pageBreakPreview" zoomScale="130" zoomScaleNormal="115" zoomScaleSheetLayoutView="130" workbookViewId="0">
      <selection activeCell="D55" sqref="D55"/>
    </sheetView>
  </sheetViews>
  <sheetFormatPr defaultColWidth="9.33203125" defaultRowHeight="12.75" x14ac:dyDescent="0.2"/>
  <cols>
    <col min="1" max="1" width="9.33203125" style="1"/>
    <col min="2" max="2" width="70.33203125" style="1" customWidth="1"/>
    <col min="3" max="3" width="21" style="1" customWidth="1"/>
    <col min="4" max="4" width="16.6640625" style="1" customWidth="1"/>
    <col min="5" max="5" width="14.83203125" style="1" customWidth="1"/>
    <col min="6" max="6" width="14" style="1" customWidth="1"/>
    <col min="7" max="7" width="17.6640625" style="1" customWidth="1"/>
    <col min="8" max="1024" width="9.33203125" style="1"/>
  </cols>
  <sheetData>
    <row r="1" spans="1:8" ht="15.75" x14ac:dyDescent="0.25">
      <c r="A1" s="195" t="s">
        <v>0</v>
      </c>
      <c r="B1" s="195"/>
      <c r="C1" s="195"/>
      <c r="D1" s="195"/>
    </row>
    <row r="3" spans="1:8" x14ac:dyDescent="0.2">
      <c r="A3" s="196" t="s">
        <v>1</v>
      </c>
      <c r="B3" s="196"/>
      <c r="C3" s="196"/>
      <c r="D3" s="196"/>
    </row>
    <row r="4" spans="1:8" x14ac:dyDescent="0.2">
      <c r="A4" s="2"/>
      <c r="B4" s="2"/>
      <c r="C4" s="2"/>
      <c r="D4" s="2"/>
      <c r="F4" s="1" t="s">
        <v>177</v>
      </c>
      <c r="G4" s="141">
        <v>0.70909999999999995</v>
      </c>
    </row>
    <row r="5" spans="1:8" x14ac:dyDescent="0.2">
      <c r="A5" s="3">
        <v>1</v>
      </c>
      <c r="B5" s="3" t="s">
        <v>2</v>
      </c>
      <c r="C5" s="197" t="s">
        <v>184</v>
      </c>
      <c r="D5" s="197"/>
    </row>
    <row r="6" spans="1:8" x14ac:dyDescent="0.2">
      <c r="A6" s="3">
        <v>2</v>
      </c>
      <c r="B6" s="3" t="s">
        <v>3</v>
      </c>
      <c r="C6" s="198">
        <v>11035.36</v>
      </c>
      <c r="D6" s="198"/>
      <c r="F6" s="1" t="s">
        <v>176</v>
      </c>
      <c r="G6" s="140">
        <v>18860.53</v>
      </c>
      <c r="H6" s="1" t="s">
        <v>178</v>
      </c>
    </row>
    <row r="7" spans="1:8" x14ac:dyDescent="0.2">
      <c r="A7" s="3">
        <v>3</v>
      </c>
      <c r="B7" s="3" t="s">
        <v>4</v>
      </c>
      <c r="C7" s="197"/>
      <c r="D7" s="197"/>
    </row>
    <row r="8" spans="1:8" x14ac:dyDescent="0.2">
      <c r="A8" s="3">
        <v>4</v>
      </c>
      <c r="B8" s="3" t="s">
        <v>5</v>
      </c>
      <c r="C8" s="199" t="s">
        <v>175</v>
      </c>
      <c r="D8" s="199"/>
      <c r="G8" s="142">
        <f>G6/(1+G4)</f>
        <v>11035.35779065005</v>
      </c>
      <c r="H8" s="1" t="s">
        <v>179</v>
      </c>
    </row>
    <row r="10" spans="1:8" x14ac:dyDescent="0.2">
      <c r="A10" s="196" t="s">
        <v>6</v>
      </c>
      <c r="B10" s="196"/>
      <c r="C10" s="196"/>
      <c r="D10" s="196"/>
    </row>
    <row r="12" spans="1:8" ht="12.75" customHeight="1" x14ac:dyDescent="0.2">
      <c r="A12" s="4">
        <v>1</v>
      </c>
      <c r="B12" s="200" t="s">
        <v>7</v>
      </c>
      <c r="C12" s="200"/>
      <c r="D12" s="4" t="s">
        <v>8</v>
      </c>
    </row>
    <row r="13" spans="1:8" ht="12.75" customHeight="1" x14ac:dyDescent="0.2">
      <c r="A13" s="5" t="s">
        <v>9</v>
      </c>
      <c r="B13" s="201" t="s">
        <v>10</v>
      </c>
      <c r="C13" s="201"/>
      <c r="D13" s="7">
        <f>+C6</f>
        <v>11035.36</v>
      </c>
    </row>
    <row r="14" spans="1:8" ht="12.75" customHeight="1" x14ac:dyDescent="0.2">
      <c r="A14" s="5" t="s">
        <v>11</v>
      </c>
      <c r="B14" s="201" t="s">
        <v>12</v>
      </c>
      <c r="C14" s="201"/>
      <c r="D14" s="7"/>
      <c r="G14" s="140"/>
    </row>
    <row r="15" spans="1:8" ht="12.75" customHeight="1" x14ac:dyDescent="0.2">
      <c r="A15" s="5" t="s">
        <v>13</v>
      </c>
      <c r="B15" s="201" t="s">
        <v>14</v>
      </c>
      <c r="C15" s="201"/>
      <c r="D15" s="7"/>
      <c r="G15" s="140"/>
    </row>
    <row r="16" spans="1:8" ht="12.75" customHeight="1" x14ac:dyDescent="0.2">
      <c r="A16" s="5" t="s">
        <v>15</v>
      </c>
      <c r="B16" s="201" t="s">
        <v>16</v>
      </c>
      <c r="C16" s="201"/>
      <c r="D16" s="7"/>
      <c r="G16" s="140"/>
      <c r="H16" s="142"/>
    </row>
    <row r="17" spans="1:4" ht="12.75" customHeight="1" x14ac:dyDescent="0.2">
      <c r="A17" s="5" t="s">
        <v>17</v>
      </c>
      <c r="B17" s="201" t="s">
        <v>18</v>
      </c>
      <c r="C17" s="201"/>
      <c r="D17" s="7"/>
    </row>
    <row r="18" spans="1:4" x14ac:dyDescent="0.2">
      <c r="A18" s="5"/>
      <c r="B18" s="201"/>
      <c r="C18" s="201"/>
      <c r="D18" s="7"/>
    </row>
    <row r="19" spans="1:4" ht="12.75" customHeight="1" x14ac:dyDescent="0.2">
      <c r="A19" s="5" t="s">
        <v>19</v>
      </c>
      <c r="B19" s="201" t="s">
        <v>20</v>
      </c>
      <c r="C19" s="201"/>
      <c r="D19" s="7"/>
    </row>
    <row r="20" spans="1:4" ht="12.75" customHeight="1" x14ac:dyDescent="0.2">
      <c r="A20" s="200" t="s">
        <v>21</v>
      </c>
      <c r="B20" s="200"/>
      <c r="C20" s="200"/>
      <c r="D20" s="8">
        <f>SUM(D13:D19)</f>
        <v>11035.36</v>
      </c>
    </row>
    <row r="23" spans="1:4" x14ac:dyDescent="0.2">
      <c r="A23" s="196" t="s">
        <v>22</v>
      </c>
      <c r="B23" s="196"/>
      <c r="C23" s="196"/>
      <c r="D23" s="196"/>
    </row>
    <row r="24" spans="1:4" x14ac:dyDescent="0.2">
      <c r="A24" s="9"/>
    </row>
    <row r="25" spans="1:4" x14ac:dyDescent="0.2">
      <c r="A25" s="202" t="s">
        <v>23</v>
      </c>
      <c r="B25" s="202"/>
      <c r="C25" s="202"/>
      <c r="D25" s="202"/>
    </row>
    <row r="27" spans="1:4" ht="12.75" customHeight="1" x14ac:dyDescent="0.2">
      <c r="A27" s="4" t="s">
        <v>24</v>
      </c>
      <c r="B27" s="200" t="s">
        <v>25</v>
      </c>
      <c r="C27" s="200"/>
      <c r="D27" s="4" t="s">
        <v>8</v>
      </c>
    </row>
    <row r="28" spans="1:4" x14ac:dyDescent="0.2">
      <c r="A28" s="5" t="s">
        <v>9</v>
      </c>
      <c r="B28" s="6" t="s">
        <v>26</v>
      </c>
      <c r="C28" s="10">
        <f>1/12</f>
        <v>8.3333333333333329E-2</v>
      </c>
      <c r="D28" s="7">
        <f>TRUNC($D$20*C28,2)</f>
        <v>919.61</v>
      </c>
    </row>
    <row r="29" spans="1:4" x14ac:dyDescent="0.2">
      <c r="A29" s="5" t="s">
        <v>11</v>
      </c>
      <c r="B29" s="6" t="s">
        <v>27</v>
      </c>
      <c r="C29" s="10">
        <f>(1/12)*(4/3)</f>
        <v>0.1111111111111111</v>
      </c>
      <c r="D29" s="7">
        <f>TRUNC($D$20*C29,2)</f>
        <v>1226.1500000000001</v>
      </c>
    </row>
    <row r="30" spans="1:4" ht="12.75" customHeight="1" x14ac:dyDescent="0.2">
      <c r="A30" s="200" t="s">
        <v>21</v>
      </c>
      <c r="B30" s="200"/>
      <c r="C30" s="200"/>
      <c r="D30" s="11">
        <f>SUM(D28:D29)</f>
        <v>2145.7600000000002</v>
      </c>
    </row>
    <row r="33" spans="1:4" ht="12.75" customHeight="1" x14ac:dyDescent="0.2">
      <c r="A33" s="203" t="s">
        <v>28</v>
      </c>
      <c r="B33" s="203"/>
      <c r="C33" s="203"/>
      <c r="D33" s="203"/>
    </row>
    <row r="35" spans="1:4" x14ac:dyDescent="0.2">
      <c r="A35" s="4" t="s">
        <v>29</v>
      </c>
      <c r="B35" s="4" t="s">
        <v>30</v>
      </c>
      <c r="C35" s="4" t="s">
        <v>31</v>
      </c>
      <c r="D35" s="4" t="s">
        <v>8</v>
      </c>
    </row>
    <row r="36" spans="1:4" x14ac:dyDescent="0.2">
      <c r="A36" s="5" t="s">
        <v>9</v>
      </c>
      <c r="B36" s="6" t="s">
        <v>32</v>
      </c>
      <c r="C36" s="12">
        <v>0.2</v>
      </c>
      <c r="D36" s="7">
        <f t="shared" ref="D36:D43" si="0">TRUNC(($D$20+$D$30)*C36,2)</f>
        <v>2636.22</v>
      </c>
    </row>
    <row r="37" spans="1:4" x14ac:dyDescent="0.2">
      <c r="A37" s="5" t="s">
        <v>11</v>
      </c>
      <c r="B37" s="6" t="s">
        <v>33</v>
      </c>
      <c r="C37" s="12">
        <v>2.5000000000000001E-2</v>
      </c>
      <c r="D37" s="7">
        <f t="shared" si="0"/>
        <v>329.52</v>
      </c>
    </row>
    <row r="38" spans="1:4" x14ac:dyDescent="0.2">
      <c r="A38" s="5" t="s">
        <v>13</v>
      </c>
      <c r="B38" s="6" t="s">
        <v>34</v>
      </c>
      <c r="C38" s="13">
        <v>0.03</v>
      </c>
      <c r="D38" s="7">
        <f t="shared" si="0"/>
        <v>395.43</v>
      </c>
    </row>
    <row r="39" spans="1:4" x14ac:dyDescent="0.2">
      <c r="A39" s="5" t="s">
        <v>15</v>
      </c>
      <c r="B39" s="6" t="s">
        <v>35</v>
      </c>
      <c r="C39" s="12">
        <v>1.4999999999999999E-2</v>
      </c>
      <c r="D39" s="7">
        <f t="shared" si="0"/>
        <v>197.71</v>
      </c>
    </row>
    <row r="40" spans="1:4" x14ac:dyDescent="0.2">
      <c r="A40" s="5" t="s">
        <v>17</v>
      </c>
      <c r="B40" s="6" t="s">
        <v>36</v>
      </c>
      <c r="C40" s="12">
        <v>0.01</v>
      </c>
      <c r="D40" s="7">
        <f t="shared" si="0"/>
        <v>131.81</v>
      </c>
    </row>
    <row r="41" spans="1:4" x14ac:dyDescent="0.2">
      <c r="A41" s="5" t="s">
        <v>37</v>
      </c>
      <c r="B41" s="6" t="s">
        <v>38</v>
      </c>
      <c r="C41" s="12">
        <v>6.0000000000000001E-3</v>
      </c>
      <c r="D41" s="7">
        <f t="shared" si="0"/>
        <v>79.08</v>
      </c>
    </row>
    <row r="42" spans="1:4" x14ac:dyDescent="0.2">
      <c r="A42" s="5" t="s">
        <v>19</v>
      </c>
      <c r="B42" s="6" t="s">
        <v>39</v>
      </c>
      <c r="C42" s="12">
        <v>2E-3</v>
      </c>
      <c r="D42" s="7">
        <f t="shared" si="0"/>
        <v>26.36</v>
      </c>
    </row>
    <row r="43" spans="1:4" x14ac:dyDescent="0.2">
      <c r="A43" s="5" t="s">
        <v>40</v>
      </c>
      <c r="B43" s="6" t="s">
        <v>41</v>
      </c>
      <c r="C43" s="12">
        <v>0.08</v>
      </c>
      <c r="D43" s="7">
        <f t="shared" si="0"/>
        <v>1054.48</v>
      </c>
    </row>
    <row r="44" spans="1:4" ht="12.75" customHeight="1" x14ac:dyDescent="0.2">
      <c r="A44" s="200" t="s">
        <v>42</v>
      </c>
      <c r="B44" s="200"/>
      <c r="C44" s="14">
        <f>SUM(C36:C43)</f>
        <v>0.36800000000000005</v>
      </c>
      <c r="D44" s="11">
        <f>SUM(D36:D43)</f>
        <v>4850.6099999999997</v>
      </c>
    </row>
    <row r="47" spans="1:4" x14ac:dyDescent="0.2">
      <c r="A47" s="202" t="s">
        <v>43</v>
      </c>
      <c r="B47" s="202"/>
      <c r="C47" s="202"/>
      <c r="D47" s="202"/>
    </row>
    <row r="49" spans="1:4" ht="12.75" customHeight="1" x14ac:dyDescent="0.2">
      <c r="A49" s="4" t="s">
        <v>44</v>
      </c>
      <c r="B49" s="204" t="s">
        <v>45</v>
      </c>
      <c r="C49" s="204"/>
      <c r="D49" s="4" t="s">
        <v>8</v>
      </c>
    </row>
    <row r="50" spans="1:4" ht="12.75" customHeight="1" x14ac:dyDescent="0.2">
      <c r="A50" s="5" t="s">
        <v>9</v>
      </c>
      <c r="B50" s="201" t="s">
        <v>46</v>
      </c>
      <c r="C50" s="201"/>
      <c r="D50" s="7">
        <f>IF(((44*3.7)-(D13*0.06))&gt;0,((44*3.7)-(D13*0.06)),0)</f>
        <v>0</v>
      </c>
    </row>
    <row r="51" spans="1:4" ht="12.75" customHeight="1" x14ac:dyDescent="0.2">
      <c r="A51" s="5" t="s">
        <v>11</v>
      </c>
      <c r="B51" s="201" t="s">
        <v>47</v>
      </c>
      <c r="C51" s="201"/>
      <c r="D51" s="7">
        <v>0</v>
      </c>
    </row>
    <row r="52" spans="1:4" ht="12.75" customHeight="1" x14ac:dyDescent="0.2">
      <c r="A52" s="5" t="s">
        <v>13</v>
      </c>
      <c r="B52" s="201" t="s">
        <v>48</v>
      </c>
      <c r="C52" s="201"/>
      <c r="D52" s="7">
        <v>0</v>
      </c>
    </row>
    <row r="53" spans="1:4" ht="12.75" customHeight="1" x14ac:dyDescent="0.2">
      <c r="A53" s="5" t="s">
        <v>15</v>
      </c>
      <c r="B53" s="201" t="s">
        <v>49</v>
      </c>
      <c r="C53" s="201"/>
      <c r="D53" s="7">
        <v>0</v>
      </c>
    </row>
    <row r="54" spans="1:4" ht="12.75" customHeight="1" x14ac:dyDescent="0.2">
      <c r="A54" s="5" t="s">
        <v>17</v>
      </c>
      <c r="B54" s="201" t="s">
        <v>50</v>
      </c>
      <c r="C54" s="201"/>
      <c r="D54" s="7">
        <v>0</v>
      </c>
    </row>
    <row r="55" spans="1:4" ht="12.75" customHeight="1" x14ac:dyDescent="0.2">
      <c r="A55" s="200" t="s">
        <v>21</v>
      </c>
      <c r="B55" s="200"/>
      <c r="C55" s="200"/>
      <c r="D55" s="11">
        <f>SUM(D50:D54)</f>
        <v>0</v>
      </c>
    </row>
    <row r="58" spans="1:4" x14ac:dyDescent="0.2">
      <c r="A58" s="202" t="s">
        <v>51</v>
      </c>
      <c r="B58" s="202"/>
      <c r="C58" s="202"/>
      <c r="D58" s="202"/>
    </row>
    <row r="60" spans="1:4" ht="12.75" customHeight="1" x14ac:dyDescent="0.2">
      <c r="A60" s="4">
        <v>2</v>
      </c>
      <c r="B60" s="204" t="s">
        <v>52</v>
      </c>
      <c r="C60" s="204"/>
      <c r="D60" s="4" t="s">
        <v>8</v>
      </c>
    </row>
    <row r="61" spans="1:4" ht="12.75" customHeight="1" x14ac:dyDescent="0.2">
      <c r="A61" s="5" t="s">
        <v>24</v>
      </c>
      <c r="B61" s="201" t="s">
        <v>25</v>
      </c>
      <c r="C61" s="201"/>
      <c r="D61" s="15">
        <f>D30</f>
        <v>2145.7600000000002</v>
      </c>
    </row>
    <row r="62" spans="1:4" ht="12.75" customHeight="1" x14ac:dyDescent="0.2">
      <c r="A62" s="5" t="s">
        <v>29</v>
      </c>
      <c r="B62" s="201" t="s">
        <v>30</v>
      </c>
      <c r="C62" s="201"/>
      <c r="D62" s="15">
        <f>D44</f>
        <v>4850.6099999999997</v>
      </c>
    </row>
    <row r="63" spans="1:4" ht="12.75" customHeight="1" x14ac:dyDescent="0.2">
      <c r="A63" s="5" t="s">
        <v>44</v>
      </c>
      <c r="B63" s="201" t="s">
        <v>45</v>
      </c>
      <c r="C63" s="201"/>
      <c r="D63" s="15">
        <f>D55</f>
        <v>0</v>
      </c>
    </row>
    <row r="64" spans="1:4" ht="12.75" customHeight="1" x14ac:dyDescent="0.2">
      <c r="A64" s="200" t="s">
        <v>21</v>
      </c>
      <c r="B64" s="200"/>
      <c r="C64" s="200"/>
      <c r="D64" s="11">
        <f>SUM(D61:D63)</f>
        <v>6996.37</v>
      </c>
    </row>
    <row r="65" spans="1:5" x14ac:dyDescent="0.2">
      <c r="A65" s="16"/>
    </row>
    <row r="67" spans="1:5" x14ac:dyDescent="0.2">
      <c r="A67" s="196" t="s">
        <v>53</v>
      </c>
      <c r="B67" s="196"/>
      <c r="C67" s="196"/>
      <c r="D67" s="196"/>
    </row>
    <row r="69" spans="1:5" ht="12.75" customHeight="1" x14ac:dyDescent="0.2">
      <c r="A69" s="4">
        <v>3</v>
      </c>
      <c r="B69" s="204" t="s">
        <v>54</v>
      </c>
      <c r="C69" s="204"/>
      <c r="D69" s="4" t="s">
        <v>8</v>
      </c>
    </row>
    <row r="70" spans="1:5" x14ac:dyDescent="0.2">
      <c r="A70" s="5" t="s">
        <v>9</v>
      </c>
      <c r="B70" s="17" t="s">
        <v>55</v>
      </c>
      <c r="C70" s="12">
        <f>TRUNC(((1/12)*5%),4)</f>
        <v>4.1000000000000003E-3</v>
      </c>
      <c r="D70" s="7">
        <f>TRUNC($D$20*C70,2)</f>
        <v>45.24</v>
      </c>
    </row>
    <row r="71" spans="1:5" x14ac:dyDescent="0.2">
      <c r="A71" s="5" t="s">
        <v>11</v>
      </c>
      <c r="B71" s="17" t="s">
        <v>56</v>
      </c>
      <c r="C71" s="12">
        <v>0.08</v>
      </c>
      <c r="D71" s="18">
        <f>TRUNC(D70*C71,2)</f>
        <v>3.61</v>
      </c>
      <c r="E71" s="19"/>
    </row>
    <row r="72" spans="1:5" x14ac:dyDescent="0.2">
      <c r="A72" s="5" t="s">
        <v>13</v>
      </c>
      <c r="B72" s="17" t="s">
        <v>57</v>
      </c>
      <c r="C72" s="12">
        <f>TRUNC(8%*5%*40%,4)</f>
        <v>1.6000000000000001E-3</v>
      </c>
      <c r="D72" s="7">
        <f>TRUNC($D$20*C72,2)</f>
        <v>17.649999999999999</v>
      </c>
    </row>
    <row r="73" spans="1:5" x14ac:dyDescent="0.2">
      <c r="A73" s="5" t="s">
        <v>15</v>
      </c>
      <c r="B73" s="17" t="s">
        <v>58</v>
      </c>
      <c r="C73" s="12">
        <f>TRUNC(((7/30)/12)*95%,4)</f>
        <v>1.84E-2</v>
      </c>
      <c r="D73" s="18">
        <f>TRUNC($D$20*C73,2)</f>
        <v>203.05</v>
      </c>
      <c r="E73" s="20"/>
    </row>
    <row r="74" spans="1:5" ht="12.75" customHeight="1" x14ac:dyDescent="0.2">
      <c r="A74" s="5" t="s">
        <v>17</v>
      </c>
      <c r="B74" s="17" t="s">
        <v>59</v>
      </c>
      <c r="C74" s="12">
        <f>C44</f>
        <v>0.36800000000000005</v>
      </c>
      <c r="D74" s="18">
        <f>TRUNC(D73*C74,2)</f>
        <v>74.72</v>
      </c>
      <c r="E74" s="19"/>
    </row>
    <row r="75" spans="1:5" x14ac:dyDescent="0.2">
      <c r="A75" s="5" t="s">
        <v>37</v>
      </c>
      <c r="B75" s="17" t="s">
        <v>60</v>
      </c>
      <c r="C75" s="12">
        <f>TRUNC(8%*95%*40%,4)</f>
        <v>3.04E-2</v>
      </c>
      <c r="D75" s="7">
        <f>TRUNC($D$20*C75,2)</f>
        <v>335.47</v>
      </c>
    </row>
    <row r="76" spans="1:5" ht="12.75" customHeight="1" x14ac:dyDescent="0.2">
      <c r="A76" s="200" t="s">
        <v>21</v>
      </c>
      <c r="B76" s="200"/>
      <c r="C76" s="200"/>
      <c r="D76" s="11">
        <f>SUM(D70:D75)</f>
        <v>679.74</v>
      </c>
    </row>
    <row r="79" spans="1:5" x14ac:dyDescent="0.2">
      <c r="A79" s="196" t="s">
        <v>61</v>
      </c>
      <c r="B79" s="196"/>
      <c r="C79" s="196"/>
      <c r="D79" s="196"/>
    </row>
    <row r="82" spans="1:4" x14ac:dyDescent="0.2">
      <c r="A82" s="202" t="s">
        <v>62</v>
      </c>
      <c r="B82" s="202"/>
      <c r="C82" s="202"/>
      <c r="D82" s="202"/>
    </row>
    <row r="83" spans="1:4" x14ac:dyDescent="0.2">
      <c r="A83" s="9"/>
    </row>
    <row r="84" spans="1:4" ht="12.75" customHeight="1" x14ac:dyDescent="0.2">
      <c r="A84" s="4" t="s">
        <v>63</v>
      </c>
      <c r="B84" s="204" t="s">
        <v>64</v>
      </c>
      <c r="C84" s="204"/>
      <c r="D84" s="4" t="s">
        <v>8</v>
      </c>
    </row>
    <row r="85" spans="1:4" x14ac:dyDescent="0.2">
      <c r="A85" s="5" t="s">
        <v>9</v>
      </c>
      <c r="B85" s="6" t="s">
        <v>65</v>
      </c>
      <c r="C85" s="12">
        <f>TRUNC(((1+1/3)/12)/12,4)</f>
        <v>9.1999999999999998E-3</v>
      </c>
      <c r="D85" s="7">
        <f t="shared" ref="D85:D90" si="1">TRUNC(($D$20+$D$64+$D$76)*C85,2)</f>
        <v>172.14</v>
      </c>
    </row>
    <row r="86" spans="1:4" x14ac:dyDescent="0.2">
      <c r="A86" s="5" t="s">
        <v>11</v>
      </c>
      <c r="B86" s="6" t="s">
        <v>66</v>
      </c>
      <c r="C86" s="12">
        <f>TRUNC(((2/30)/12),4)</f>
        <v>5.4999999999999997E-3</v>
      </c>
      <c r="D86" s="7">
        <f t="shared" si="1"/>
        <v>102.91</v>
      </c>
    </row>
    <row r="87" spans="1:4" x14ac:dyDescent="0.2">
      <c r="A87" s="5" t="s">
        <v>13</v>
      </c>
      <c r="B87" s="6" t="s">
        <v>67</v>
      </c>
      <c r="C87" s="12">
        <f>TRUNC(((5/30)/12)*2%,4)</f>
        <v>2.0000000000000001E-4</v>
      </c>
      <c r="D87" s="7">
        <f t="shared" si="1"/>
        <v>3.74</v>
      </c>
    </row>
    <row r="88" spans="1:4" x14ac:dyDescent="0.2">
      <c r="A88" s="5" t="s">
        <v>15</v>
      </c>
      <c r="B88" s="6" t="s">
        <v>68</v>
      </c>
      <c r="C88" s="12">
        <f>TRUNC(((15/30)/12)*8%,4)</f>
        <v>3.3E-3</v>
      </c>
      <c r="D88" s="7">
        <f t="shared" si="1"/>
        <v>61.74</v>
      </c>
    </row>
    <row r="89" spans="1:4" x14ac:dyDescent="0.2">
      <c r="A89" s="5" t="s">
        <v>17</v>
      </c>
      <c r="B89" s="6" t="s">
        <v>69</v>
      </c>
      <c r="C89" s="12">
        <f>((1+1/3)/12)*3%*(4/12)</f>
        <v>1.1111111111111109E-3</v>
      </c>
      <c r="D89" s="7">
        <f t="shared" si="1"/>
        <v>20.79</v>
      </c>
    </row>
    <row r="90" spans="1:4" x14ac:dyDescent="0.2">
      <c r="A90" s="5" t="s">
        <v>37</v>
      </c>
      <c r="B90" s="6" t="s">
        <v>70</v>
      </c>
      <c r="C90" s="12">
        <v>1.3899999999999999E-2</v>
      </c>
      <c r="D90" s="7">
        <f t="shared" si="1"/>
        <v>260.08</v>
      </c>
    </row>
    <row r="91" spans="1:4" ht="12.75" customHeight="1" x14ac:dyDescent="0.2">
      <c r="A91" s="200" t="s">
        <v>42</v>
      </c>
      <c r="B91" s="200"/>
      <c r="C91" s="200"/>
      <c r="D91" s="11">
        <f>SUM(D85:D90)</f>
        <v>621.4</v>
      </c>
    </row>
    <row r="94" spans="1:4" x14ac:dyDescent="0.2">
      <c r="A94" s="202" t="s">
        <v>71</v>
      </c>
      <c r="B94" s="202"/>
      <c r="C94" s="202"/>
      <c r="D94" s="202"/>
    </row>
    <row r="95" spans="1:4" x14ac:dyDescent="0.2">
      <c r="A95" s="9"/>
    </row>
    <row r="96" spans="1:4" ht="12.75" customHeight="1" x14ac:dyDescent="0.2">
      <c r="A96" s="4" t="s">
        <v>72</v>
      </c>
      <c r="B96" s="204" t="s">
        <v>73</v>
      </c>
      <c r="C96" s="204"/>
      <c r="D96" s="4" t="s">
        <v>8</v>
      </c>
    </row>
    <row r="97" spans="1:6" ht="12.75" customHeight="1" x14ac:dyDescent="0.2">
      <c r="A97" s="5" t="s">
        <v>9</v>
      </c>
      <c r="B97" s="201" t="s">
        <v>74</v>
      </c>
      <c r="C97" s="201"/>
      <c r="D97" s="7">
        <f>((D20+D64+D76)/220)*22*0</f>
        <v>0</v>
      </c>
      <c r="E97" s="20"/>
      <c r="F97" s="20"/>
    </row>
    <row r="98" spans="1:6" ht="12.75" customHeight="1" x14ac:dyDescent="0.2">
      <c r="A98" s="200" t="s">
        <v>21</v>
      </c>
      <c r="B98" s="200"/>
      <c r="C98" s="200"/>
      <c r="D98" s="11">
        <f>SUM(D97)</f>
        <v>0</v>
      </c>
    </row>
    <row r="101" spans="1:6" x14ac:dyDescent="0.2">
      <c r="A101" s="202" t="s">
        <v>75</v>
      </c>
      <c r="B101" s="202"/>
      <c r="C101" s="202"/>
      <c r="D101" s="202"/>
    </row>
    <row r="102" spans="1:6" x14ac:dyDescent="0.2">
      <c r="A102" s="9"/>
    </row>
    <row r="103" spans="1:6" ht="12.75" customHeight="1" x14ac:dyDescent="0.2">
      <c r="A103" s="4">
        <v>4</v>
      </c>
      <c r="B103" s="200" t="s">
        <v>76</v>
      </c>
      <c r="C103" s="200"/>
      <c r="D103" s="4" t="s">
        <v>8</v>
      </c>
    </row>
    <row r="104" spans="1:6" ht="12.75" customHeight="1" x14ac:dyDescent="0.2">
      <c r="A104" s="5" t="s">
        <v>63</v>
      </c>
      <c r="B104" s="201" t="s">
        <v>64</v>
      </c>
      <c r="C104" s="201"/>
      <c r="D104" s="15">
        <f>D91</f>
        <v>621.4</v>
      </c>
    </row>
    <row r="105" spans="1:6" ht="12.75" customHeight="1" x14ac:dyDescent="0.2">
      <c r="A105" s="5" t="s">
        <v>72</v>
      </c>
      <c r="B105" s="201" t="s">
        <v>73</v>
      </c>
      <c r="C105" s="201"/>
      <c r="D105" s="15">
        <f>D98</f>
        <v>0</v>
      </c>
    </row>
    <row r="106" spans="1:6" ht="12.75" customHeight="1" x14ac:dyDescent="0.2">
      <c r="A106" s="200" t="s">
        <v>21</v>
      </c>
      <c r="B106" s="200"/>
      <c r="C106" s="200"/>
      <c r="D106" s="11">
        <f>SUM(D104:D105)</f>
        <v>621.4</v>
      </c>
    </row>
    <row r="109" spans="1:6" x14ac:dyDescent="0.2">
      <c r="A109" s="196" t="s">
        <v>77</v>
      </c>
      <c r="B109" s="196"/>
      <c r="C109" s="196"/>
      <c r="D109" s="196"/>
    </row>
    <row r="111" spans="1:6" ht="12.75" customHeight="1" x14ac:dyDescent="0.2">
      <c r="A111" s="4">
        <v>5</v>
      </c>
      <c r="B111" s="205" t="s">
        <v>78</v>
      </c>
      <c r="C111" s="205"/>
      <c r="D111" s="4" t="s">
        <v>8</v>
      </c>
    </row>
    <row r="112" spans="1:6" x14ac:dyDescent="0.2">
      <c r="A112" s="5" t="s">
        <v>9</v>
      </c>
      <c r="B112" s="6" t="s">
        <v>79</v>
      </c>
      <c r="C112" s="6"/>
      <c r="D112" s="7">
        <v>0</v>
      </c>
    </row>
    <row r="113" spans="1:4" x14ac:dyDescent="0.2">
      <c r="A113" s="5" t="s">
        <v>11</v>
      </c>
      <c r="B113" s="6" t="s">
        <v>180</v>
      </c>
      <c r="C113" s="6"/>
      <c r="D113" s="143">
        <v>243</v>
      </c>
    </row>
    <row r="114" spans="1:4" x14ac:dyDescent="0.2">
      <c r="A114" s="5" t="s">
        <v>13</v>
      </c>
      <c r="B114" s="6" t="s">
        <v>80</v>
      </c>
      <c r="C114" s="6"/>
      <c r="D114" s="7">
        <f>EPIs!F13</f>
        <v>15.119979000000001</v>
      </c>
    </row>
    <row r="115" spans="1:4" x14ac:dyDescent="0.2">
      <c r="A115" s="5" t="s">
        <v>15</v>
      </c>
      <c r="B115" s="6" t="s">
        <v>81</v>
      </c>
      <c r="C115" s="6"/>
      <c r="D115" s="143">
        <v>233.94</v>
      </c>
    </row>
    <row r="116" spans="1:4" ht="12.75" customHeight="1" x14ac:dyDescent="0.2">
      <c r="A116" s="200" t="s">
        <v>42</v>
      </c>
      <c r="B116" s="200"/>
      <c r="C116" s="200"/>
      <c r="D116" s="8">
        <f>SUM(D112:D115)</f>
        <v>492.059979</v>
      </c>
    </row>
    <row r="119" spans="1:4" x14ac:dyDescent="0.2">
      <c r="A119" s="196" t="s">
        <v>82</v>
      </c>
      <c r="B119" s="196"/>
      <c r="C119" s="196"/>
      <c r="D119" s="196"/>
    </row>
    <row r="121" spans="1:4" x14ac:dyDescent="0.2">
      <c r="A121" s="4">
        <v>6</v>
      </c>
      <c r="B121" s="21" t="s">
        <v>83</v>
      </c>
      <c r="C121" s="4" t="s">
        <v>31</v>
      </c>
      <c r="D121" s="4" t="s">
        <v>8</v>
      </c>
    </row>
    <row r="122" spans="1:4" x14ac:dyDescent="0.2">
      <c r="A122" s="5" t="s">
        <v>9</v>
      </c>
      <c r="B122" s="6" t="s">
        <v>84</v>
      </c>
      <c r="C122" s="12">
        <v>7.6999999999999999E-2</v>
      </c>
      <c r="D122" s="15">
        <f>D139*C122</f>
        <v>1526.5196083830003</v>
      </c>
    </row>
    <row r="123" spans="1:4" x14ac:dyDescent="0.2">
      <c r="A123" s="5" t="s">
        <v>11</v>
      </c>
      <c r="B123" s="6" t="s">
        <v>85</v>
      </c>
      <c r="C123" s="12">
        <v>0.06</v>
      </c>
      <c r="D123" s="7">
        <f>(D139+D122)*C123</f>
        <v>1281.0869752429803</v>
      </c>
    </row>
    <row r="124" spans="1:4" x14ac:dyDescent="0.2">
      <c r="A124" s="5" t="s">
        <v>13</v>
      </c>
      <c r="B124" s="6" t="s">
        <v>86</v>
      </c>
      <c r="C124" s="10">
        <f>SUM(C125:C127)</f>
        <v>8.6499999999999994E-2</v>
      </c>
      <c r="D124" s="7">
        <f>(D139+D122+D123)*C124/(1-C124)</f>
        <v>2143.0918584205228</v>
      </c>
    </row>
    <row r="125" spans="1:4" x14ac:dyDescent="0.2">
      <c r="A125" s="5"/>
      <c r="B125" s="6" t="s">
        <v>87</v>
      </c>
      <c r="C125" s="12">
        <v>3.6499999999999998E-2</v>
      </c>
      <c r="D125" s="15">
        <f>$D$141*C125</f>
        <v>904.31043736819754</v>
      </c>
    </row>
    <row r="126" spans="1:4" x14ac:dyDescent="0.2">
      <c r="A126" s="5"/>
      <c r="B126" s="6" t="s">
        <v>88</v>
      </c>
      <c r="C126" s="5"/>
      <c r="D126" s="15">
        <f>$D$141*C126</f>
        <v>0</v>
      </c>
    </row>
    <row r="127" spans="1:4" x14ac:dyDescent="0.2">
      <c r="A127" s="5"/>
      <c r="B127" s="6" t="s">
        <v>89</v>
      </c>
      <c r="C127" s="12">
        <v>0.05</v>
      </c>
      <c r="D127" s="15">
        <f>$D$141*C127</f>
        <v>1238.7814210523256</v>
      </c>
    </row>
    <row r="128" spans="1:4" ht="13.5" customHeight="1" x14ac:dyDescent="0.2">
      <c r="A128" s="206" t="s">
        <v>42</v>
      </c>
      <c r="B128" s="206"/>
      <c r="C128" s="22">
        <f>(1+C123)*(1+C122)/(1-C124)-1</f>
        <v>0.24972085385878495</v>
      </c>
      <c r="D128" s="11">
        <f>SUM(D122:D124)</f>
        <v>4950.6984420465033</v>
      </c>
    </row>
    <row r="131" spans="1:4" x14ac:dyDescent="0.2">
      <c r="A131" s="196" t="s">
        <v>90</v>
      </c>
      <c r="B131" s="196"/>
      <c r="C131" s="196"/>
      <c r="D131" s="196"/>
    </row>
    <row r="133" spans="1:4" ht="12.75" customHeight="1" x14ac:dyDescent="0.2">
      <c r="A133" s="4"/>
      <c r="B133" s="200" t="s">
        <v>91</v>
      </c>
      <c r="C133" s="200"/>
      <c r="D133" s="4" t="s">
        <v>8</v>
      </c>
    </row>
    <row r="134" spans="1:4" ht="12.75" customHeight="1" x14ac:dyDescent="0.2">
      <c r="A134" s="4" t="s">
        <v>9</v>
      </c>
      <c r="B134" s="201" t="s">
        <v>6</v>
      </c>
      <c r="C134" s="201"/>
      <c r="D134" s="23">
        <f>D20</f>
        <v>11035.36</v>
      </c>
    </row>
    <row r="135" spans="1:4" ht="12.75" customHeight="1" x14ac:dyDescent="0.2">
      <c r="A135" s="4" t="s">
        <v>11</v>
      </c>
      <c r="B135" s="201" t="s">
        <v>22</v>
      </c>
      <c r="C135" s="201"/>
      <c r="D135" s="23">
        <f>D64</f>
        <v>6996.37</v>
      </c>
    </row>
    <row r="136" spans="1:4" ht="12.75" customHeight="1" x14ac:dyDescent="0.2">
      <c r="A136" s="4" t="s">
        <v>13</v>
      </c>
      <c r="B136" s="201" t="s">
        <v>53</v>
      </c>
      <c r="C136" s="201"/>
      <c r="D136" s="23">
        <f>D76</f>
        <v>679.74</v>
      </c>
    </row>
    <row r="137" spans="1:4" ht="12.75" customHeight="1" x14ac:dyDescent="0.2">
      <c r="A137" s="4" t="s">
        <v>15</v>
      </c>
      <c r="B137" s="201" t="s">
        <v>61</v>
      </c>
      <c r="C137" s="201"/>
      <c r="D137" s="23">
        <f>D106</f>
        <v>621.4</v>
      </c>
    </row>
    <row r="138" spans="1:4" ht="12.75" customHeight="1" x14ac:dyDescent="0.2">
      <c r="A138" s="4" t="s">
        <v>17</v>
      </c>
      <c r="B138" s="201" t="s">
        <v>77</v>
      </c>
      <c r="C138" s="201"/>
      <c r="D138" s="23">
        <f>D116</f>
        <v>492.059979</v>
      </c>
    </row>
    <row r="139" spans="1:4" ht="12.75" customHeight="1" x14ac:dyDescent="0.2">
      <c r="A139" s="200" t="s">
        <v>92</v>
      </c>
      <c r="B139" s="200"/>
      <c r="C139" s="200"/>
      <c r="D139" s="24">
        <f>SUM(D134:D138)</f>
        <v>19824.929979000004</v>
      </c>
    </row>
    <row r="140" spans="1:4" ht="12.75" customHeight="1" x14ac:dyDescent="0.2">
      <c r="A140" s="4" t="s">
        <v>37</v>
      </c>
      <c r="B140" s="201" t="s">
        <v>93</v>
      </c>
      <c r="C140" s="201"/>
      <c r="D140" s="25">
        <f>D128</f>
        <v>4950.6984420465033</v>
      </c>
    </row>
    <row r="141" spans="1:4" ht="12.75" customHeight="1" x14ac:dyDescent="0.2">
      <c r="A141" s="200" t="s">
        <v>94</v>
      </c>
      <c r="B141" s="200"/>
      <c r="C141" s="200"/>
      <c r="D141" s="24">
        <f>SUM(D139:D140)</f>
        <v>24775.628421046509</v>
      </c>
    </row>
  </sheetData>
  <mergeCells count="67">
    <mergeCell ref="B16:C16"/>
    <mergeCell ref="A1:D1"/>
    <mergeCell ref="A3:D3"/>
    <mergeCell ref="C5:D5"/>
    <mergeCell ref="C6:D6"/>
    <mergeCell ref="C7:D7"/>
    <mergeCell ref="C8:D8"/>
    <mergeCell ref="A10:D10"/>
    <mergeCell ref="B12:C12"/>
    <mergeCell ref="B13:C13"/>
    <mergeCell ref="B14:C14"/>
    <mergeCell ref="B15:C15"/>
    <mergeCell ref="B49:C49"/>
    <mergeCell ref="B17:C17"/>
    <mergeCell ref="B18:C18"/>
    <mergeCell ref="B19:C19"/>
    <mergeCell ref="A20:C20"/>
    <mergeCell ref="A23:D23"/>
    <mergeCell ref="A25:D25"/>
    <mergeCell ref="B27:C27"/>
    <mergeCell ref="A30:C30"/>
    <mergeCell ref="A33:D33"/>
    <mergeCell ref="A44:B44"/>
    <mergeCell ref="A47:D47"/>
    <mergeCell ref="A64:C64"/>
    <mergeCell ref="B50:C50"/>
    <mergeCell ref="B51:C51"/>
    <mergeCell ref="B52:C52"/>
    <mergeCell ref="B53:C53"/>
    <mergeCell ref="B54:C54"/>
    <mergeCell ref="A55:C55"/>
    <mergeCell ref="A58:D58"/>
    <mergeCell ref="B60:C60"/>
    <mergeCell ref="B61:C61"/>
    <mergeCell ref="B62:C62"/>
    <mergeCell ref="B63:C63"/>
    <mergeCell ref="A101:D101"/>
    <mergeCell ref="A67:D67"/>
    <mergeCell ref="B69:C69"/>
    <mergeCell ref="A76:C76"/>
    <mergeCell ref="A79:D79"/>
    <mergeCell ref="A82:D82"/>
    <mergeCell ref="B84:C84"/>
    <mergeCell ref="A91:C91"/>
    <mergeCell ref="A94:D94"/>
    <mergeCell ref="B96:C96"/>
    <mergeCell ref="B97:C97"/>
    <mergeCell ref="A98:C98"/>
    <mergeCell ref="B134:C134"/>
    <mergeCell ref="B103:C103"/>
    <mergeCell ref="B104:C104"/>
    <mergeCell ref="B105:C105"/>
    <mergeCell ref="A106:C106"/>
    <mergeCell ref="A109:D109"/>
    <mergeCell ref="B111:C111"/>
    <mergeCell ref="A116:C116"/>
    <mergeCell ref="A119:D119"/>
    <mergeCell ref="A128:B128"/>
    <mergeCell ref="A131:D131"/>
    <mergeCell ref="B133:C133"/>
    <mergeCell ref="A141:C141"/>
    <mergeCell ref="B135:C135"/>
    <mergeCell ref="B136:C136"/>
    <mergeCell ref="B137:C137"/>
    <mergeCell ref="B138:C138"/>
    <mergeCell ref="A139:C139"/>
    <mergeCell ref="B140:C140"/>
  </mergeCells>
  <pageMargins left="0.51180555555555496" right="0.51180555555555496" top="0.78749999999999998" bottom="0.78749999999999998" header="0.51180555555555496" footer="0.51180555555555496"/>
  <pageSetup paperSize="9" scale="88" firstPageNumber="0" fitToHeight="0" orientation="portrait" r:id="rId1"/>
  <rowBreaks count="1" manualBreakCount="1">
    <brk id="6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41"/>
  <sheetViews>
    <sheetView view="pageBreakPreview" zoomScale="130" zoomScaleNormal="115" zoomScaleSheetLayoutView="130" workbookViewId="0">
      <selection activeCell="D55" sqref="D55"/>
    </sheetView>
  </sheetViews>
  <sheetFormatPr defaultColWidth="9.33203125" defaultRowHeight="12.75" x14ac:dyDescent="0.2"/>
  <cols>
    <col min="1" max="1" width="9.33203125" style="1"/>
    <col min="2" max="2" width="70.33203125" style="1" customWidth="1"/>
    <col min="3" max="3" width="21" style="1" customWidth="1"/>
    <col min="4" max="4" width="16.6640625" style="1" customWidth="1"/>
    <col min="5" max="5" width="14.83203125" style="1" customWidth="1"/>
    <col min="6" max="6" width="14" style="1" customWidth="1"/>
    <col min="7" max="7" width="17.6640625" style="1" customWidth="1"/>
    <col min="8" max="1024" width="9.33203125" style="1"/>
  </cols>
  <sheetData>
    <row r="1" spans="1:8" ht="15.75" x14ac:dyDescent="0.25">
      <c r="A1" s="195" t="s">
        <v>0</v>
      </c>
      <c r="B1" s="195"/>
      <c r="C1" s="195"/>
      <c r="D1" s="195"/>
    </row>
    <row r="3" spans="1:8" x14ac:dyDescent="0.2">
      <c r="A3" s="196" t="s">
        <v>1</v>
      </c>
      <c r="B3" s="196"/>
      <c r="C3" s="196"/>
      <c r="D3" s="196"/>
    </row>
    <row r="4" spans="1:8" x14ac:dyDescent="0.2">
      <c r="A4" s="2"/>
      <c r="B4" s="2"/>
      <c r="C4" s="2"/>
      <c r="D4" s="2"/>
      <c r="F4" s="1" t="s">
        <v>177</v>
      </c>
      <c r="G4" s="141">
        <v>0.70909999999999995</v>
      </c>
    </row>
    <row r="5" spans="1:8" x14ac:dyDescent="0.2">
      <c r="A5" s="3">
        <v>1</v>
      </c>
      <c r="B5" s="3" t="s">
        <v>2</v>
      </c>
      <c r="C5" s="197" t="s">
        <v>185</v>
      </c>
      <c r="D5" s="197"/>
    </row>
    <row r="6" spans="1:8" x14ac:dyDescent="0.2">
      <c r="A6" s="3">
        <v>2</v>
      </c>
      <c r="B6" s="3" t="s">
        <v>3</v>
      </c>
      <c r="C6" s="198">
        <v>11035.36</v>
      </c>
      <c r="D6" s="198"/>
      <c r="F6" s="1" t="s">
        <v>176</v>
      </c>
      <c r="G6" s="140">
        <v>18860.53</v>
      </c>
      <c r="H6" s="1" t="s">
        <v>178</v>
      </c>
    </row>
    <row r="7" spans="1:8" x14ac:dyDescent="0.2">
      <c r="A7" s="3">
        <v>3</v>
      </c>
      <c r="B7" s="3" t="s">
        <v>4</v>
      </c>
      <c r="C7" s="197"/>
      <c r="D7" s="197"/>
    </row>
    <row r="8" spans="1:8" x14ac:dyDescent="0.2">
      <c r="A8" s="3">
        <v>4</v>
      </c>
      <c r="B8" s="3" t="s">
        <v>5</v>
      </c>
      <c r="C8" s="199" t="s">
        <v>175</v>
      </c>
      <c r="D8" s="199"/>
      <c r="G8" s="142">
        <f>G6/(1+G4)</f>
        <v>11035.35779065005</v>
      </c>
      <c r="H8" s="1" t="s">
        <v>179</v>
      </c>
    </row>
    <row r="10" spans="1:8" x14ac:dyDescent="0.2">
      <c r="A10" s="196" t="s">
        <v>6</v>
      </c>
      <c r="B10" s="196"/>
      <c r="C10" s="196"/>
      <c r="D10" s="196"/>
    </row>
    <row r="12" spans="1:8" ht="12.75" customHeight="1" x14ac:dyDescent="0.2">
      <c r="A12" s="4">
        <v>1</v>
      </c>
      <c r="B12" s="200" t="s">
        <v>7</v>
      </c>
      <c r="C12" s="200"/>
      <c r="D12" s="4" t="s">
        <v>8</v>
      </c>
    </row>
    <row r="13" spans="1:8" ht="12.75" customHeight="1" x14ac:dyDescent="0.2">
      <c r="A13" s="5" t="s">
        <v>9</v>
      </c>
      <c r="B13" s="201" t="s">
        <v>10</v>
      </c>
      <c r="C13" s="201"/>
      <c r="D13" s="7">
        <f>+C6</f>
        <v>11035.36</v>
      </c>
    </row>
    <row r="14" spans="1:8" ht="12.75" customHeight="1" x14ac:dyDescent="0.2">
      <c r="A14" s="5" t="s">
        <v>11</v>
      </c>
      <c r="B14" s="201" t="s">
        <v>12</v>
      </c>
      <c r="C14" s="201"/>
      <c r="D14" s="7"/>
      <c r="G14" s="140"/>
    </row>
    <row r="15" spans="1:8" ht="12.75" customHeight="1" x14ac:dyDescent="0.2">
      <c r="A15" s="5" t="s">
        <v>13</v>
      </c>
      <c r="B15" s="201" t="s">
        <v>14</v>
      </c>
      <c r="C15" s="201"/>
      <c r="D15" s="7"/>
      <c r="G15" s="140"/>
    </row>
    <row r="16" spans="1:8" ht="12.75" customHeight="1" x14ac:dyDescent="0.2">
      <c r="A16" s="5" t="s">
        <v>15</v>
      </c>
      <c r="B16" s="201" t="s">
        <v>16</v>
      </c>
      <c r="C16" s="201"/>
      <c r="D16" s="7"/>
      <c r="G16" s="140"/>
      <c r="H16" s="142"/>
    </row>
    <row r="17" spans="1:4" ht="12.75" customHeight="1" x14ac:dyDescent="0.2">
      <c r="A17" s="5" t="s">
        <v>17</v>
      </c>
      <c r="B17" s="201" t="s">
        <v>18</v>
      </c>
      <c r="C17" s="201"/>
      <c r="D17" s="7"/>
    </row>
    <row r="18" spans="1:4" x14ac:dyDescent="0.2">
      <c r="A18" s="5"/>
      <c r="B18" s="201"/>
      <c r="C18" s="201"/>
      <c r="D18" s="7"/>
    </row>
    <row r="19" spans="1:4" ht="12.75" customHeight="1" x14ac:dyDescent="0.2">
      <c r="A19" s="5" t="s">
        <v>19</v>
      </c>
      <c r="B19" s="201" t="s">
        <v>20</v>
      </c>
      <c r="C19" s="201"/>
      <c r="D19" s="7"/>
    </row>
    <row r="20" spans="1:4" ht="12.75" customHeight="1" x14ac:dyDescent="0.2">
      <c r="A20" s="200" t="s">
        <v>21</v>
      </c>
      <c r="B20" s="200"/>
      <c r="C20" s="200"/>
      <c r="D20" s="8">
        <f>SUM(D13:D19)</f>
        <v>11035.36</v>
      </c>
    </row>
    <row r="23" spans="1:4" x14ac:dyDescent="0.2">
      <c r="A23" s="196" t="s">
        <v>22</v>
      </c>
      <c r="B23" s="196"/>
      <c r="C23" s="196"/>
      <c r="D23" s="196"/>
    </row>
    <row r="24" spans="1:4" x14ac:dyDescent="0.2">
      <c r="A24" s="9"/>
    </row>
    <row r="25" spans="1:4" x14ac:dyDescent="0.2">
      <c r="A25" s="202" t="s">
        <v>23</v>
      </c>
      <c r="B25" s="202"/>
      <c r="C25" s="202"/>
      <c r="D25" s="202"/>
    </row>
    <row r="27" spans="1:4" ht="12.75" customHeight="1" x14ac:dyDescent="0.2">
      <c r="A27" s="4" t="s">
        <v>24</v>
      </c>
      <c r="B27" s="200" t="s">
        <v>25</v>
      </c>
      <c r="C27" s="200"/>
      <c r="D27" s="4" t="s">
        <v>8</v>
      </c>
    </row>
    <row r="28" spans="1:4" x14ac:dyDescent="0.2">
      <c r="A28" s="5" t="s">
        <v>9</v>
      </c>
      <c r="B28" s="6" t="s">
        <v>26</v>
      </c>
      <c r="C28" s="10">
        <f>1/12</f>
        <v>8.3333333333333329E-2</v>
      </c>
      <c r="D28" s="7">
        <f>TRUNC($D$20*C28,2)</f>
        <v>919.61</v>
      </c>
    </row>
    <row r="29" spans="1:4" x14ac:dyDescent="0.2">
      <c r="A29" s="5" t="s">
        <v>11</v>
      </c>
      <c r="B29" s="6" t="s">
        <v>27</v>
      </c>
      <c r="C29" s="10">
        <f>(1/12)*(4/3)</f>
        <v>0.1111111111111111</v>
      </c>
      <c r="D29" s="7">
        <f>TRUNC($D$20*C29,2)</f>
        <v>1226.1500000000001</v>
      </c>
    </row>
    <row r="30" spans="1:4" ht="12.75" customHeight="1" x14ac:dyDescent="0.2">
      <c r="A30" s="200" t="s">
        <v>21</v>
      </c>
      <c r="B30" s="200"/>
      <c r="C30" s="200"/>
      <c r="D30" s="11">
        <f>SUM(D28:D29)</f>
        <v>2145.7600000000002</v>
      </c>
    </row>
    <row r="33" spans="1:4" ht="12.75" customHeight="1" x14ac:dyDescent="0.2">
      <c r="A33" s="203" t="s">
        <v>28</v>
      </c>
      <c r="B33" s="203"/>
      <c r="C33" s="203"/>
      <c r="D33" s="203"/>
    </row>
    <row r="35" spans="1:4" x14ac:dyDescent="0.2">
      <c r="A35" s="4" t="s">
        <v>29</v>
      </c>
      <c r="B35" s="4" t="s">
        <v>30</v>
      </c>
      <c r="C35" s="4" t="s">
        <v>31</v>
      </c>
      <c r="D35" s="4" t="s">
        <v>8</v>
      </c>
    </row>
    <row r="36" spans="1:4" x14ac:dyDescent="0.2">
      <c r="A36" s="5" t="s">
        <v>9</v>
      </c>
      <c r="B36" s="6" t="s">
        <v>32</v>
      </c>
      <c r="C36" s="12">
        <v>0.2</v>
      </c>
      <c r="D36" s="7">
        <f t="shared" ref="D36:D43" si="0">TRUNC(($D$20+$D$30)*C36,2)</f>
        <v>2636.22</v>
      </c>
    </row>
    <row r="37" spans="1:4" x14ac:dyDescent="0.2">
      <c r="A37" s="5" t="s">
        <v>11</v>
      </c>
      <c r="B37" s="6" t="s">
        <v>33</v>
      </c>
      <c r="C37" s="12">
        <v>2.5000000000000001E-2</v>
      </c>
      <c r="D37" s="7">
        <f t="shared" si="0"/>
        <v>329.52</v>
      </c>
    </row>
    <row r="38" spans="1:4" x14ac:dyDescent="0.2">
      <c r="A38" s="5" t="s">
        <v>13</v>
      </c>
      <c r="B38" s="6" t="s">
        <v>34</v>
      </c>
      <c r="C38" s="13">
        <v>0.03</v>
      </c>
      <c r="D38" s="7">
        <f t="shared" si="0"/>
        <v>395.43</v>
      </c>
    </row>
    <row r="39" spans="1:4" x14ac:dyDescent="0.2">
      <c r="A39" s="5" t="s">
        <v>15</v>
      </c>
      <c r="B39" s="6" t="s">
        <v>35</v>
      </c>
      <c r="C39" s="12">
        <v>1.4999999999999999E-2</v>
      </c>
      <c r="D39" s="7">
        <f t="shared" si="0"/>
        <v>197.71</v>
      </c>
    </row>
    <row r="40" spans="1:4" x14ac:dyDescent="0.2">
      <c r="A40" s="5" t="s">
        <v>17</v>
      </c>
      <c r="B40" s="6" t="s">
        <v>36</v>
      </c>
      <c r="C40" s="12">
        <v>0.01</v>
      </c>
      <c r="D40" s="7">
        <f t="shared" si="0"/>
        <v>131.81</v>
      </c>
    </row>
    <row r="41" spans="1:4" x14ac:dyDescent="0.2">
      <c r="A41" s="5" t="s">
        <v>37</v>
      </c>
      <c r="B41" s="6" t="s">
        <v>38</v>
      </c>
      <c r="C41" s="12">
        <v>6.0000000000000001E-3</v>
      </c>
      <c r="D41" s="7">
        <f t="shared" si="0"/>
        <v>79.08</v>
      </c>
    </row>
    <row r="42" spans="1:4" x14ac:dyDescent="0.2">
      <c r="A42" s="5" t="s">
        <v>19</v>
      </c>
      <c r="B42" s="6" t="s">
        <v>39</v>
      </c>
      <c r="C42" s="12">
        <v>2E-3</v>
      </c>
      <c r="D42" s="7">
        <f t="shared" si="0"/>
        <v>26.36</v>
      </c>
    </row>
    <row r="43" spans="1:4" x14ac:dyDescent="0.2">
      <c r="A43" s="5" t="s">
        <v>40</v>
      </c>
      <c r="B43" s="6" t="s">
        <v>41</v>
      </c>
      <c r="C43" s="12">
        <v>0.08</v>
      </c>
      <c r="D43" s="7">
        <f t="shared" si="0"/>
        <v>1054.48</v>
      </c>
    </row>
    <row r="44" spans="1:4" ht="12.75" customHeight="1" x14ac:dyDescent="0.2">
      <c r="A44" s="200" t="s">
        <v>42</v>
      </c>
      <c r="B44" s="200"/>
      <c r="C44" s="14">
        <f>SUM(C36:C43)</f>
        <v>0.36800000000000005</v>
      </c>
      <c r="D44" s="11">
        <f>SUM(D36:D43)</f>
        <v>4850.6099999999997</v>
      </c>
    </row>
    <row r="47" spans="1:4" x14ac:dyDescent="0.2">
      <c r="A47" s="202" t="s">
        <v>43</v>
      </c>
      <c r="B47" s="202"/>
      <c r="C47" s="202"/>
      <c r="D47" s="202"/>
    </row>
    <row r="49" spans="1:4" ht="12.75" customHeight="1" x14ac:dyDescent="0.2">
      <c r="A49" s="4" t="s">
        <v>44</v>
      </c>
      <c r="B49" s="204" t="s">
        <v>45</v>
      </c>
      <c r="C49" s="204"/>
      <c r="D49" s="4" t="s">
        <v>8</v>
      </c>
    </row>
    <row r="50" spans="1:4" ht="12.75" customHeight="1" x14ac:dyDescent="0.2">
      <c r="A50" s="5" t="s">
        <v>9</v>
      </c>
      <c r="B50" s="201" t="s">
        <v>46</v>
      </c>
      <c r="C50" s="201"/>
      <c r="D50" s="7">
        <f>IF(((44*3.7)-(D13*0.06))&gt;0,((44*3.7)-(D13*0.06)),0)</f>
        <v>0</v>
      </c>
    </row>
    <row r="51" spans="1:4" ht="12.75" customHeight="1" x14ac:dyDescent="0.2">
      <c r="A51" s="5" t="s">
        <v>11</v>
      </c>
      <c r="B51" s="201" t="s">
        <v>47</v>
      </c>
      <c r="C51" s="201"/>
      <c r="D51" s="7">
        <v>0</v>
      </c>
    </row>
    <row r="52" spans="1:4" ht="12.75" customHeight="1" x14ac:dyDescent="0.2">
      <c r="A52" s="5" t="s">
        <v>13</v>
      </c>
      <c r="B52" s="201" t="s">
        <v>48</v>
      </c>
      <c r="C52" s="201"/>
      <c r="D52" s="7">
        <v>0</v>
      </c>
    </row>
    <row r="53" spans="1:4" ht="12.75" customHeight="1" x14ac:dyDescent="0.2">
      <c r="A53" s="5" t="s">
        <v>15</v>
      </c>
      <c r="B53" s="201" t="s">
        <v>49</v>
      </c>
      <c r="C53" s="201"/>
      <c r="D53" s="7">
        <v>0</v>
      </c>
    </row>
    <row r="54" spans="1:4" ht="12.75" customHeight="1" x14ac:dyDescent="0.2">
      <c r="A54" s="5" t="s">
        <v>17</v>
      </c>
      <c r="B54" s="201" t="s">
        <v>50</v>
      </c>
      <c r="C54" s="201"/>
      <c r="D54" s="7">
        <v>0</v>
      </c>
    </row>
    <row r="55" spans="1:4" ht="12.75" customHeight="1" x14ac:dyDescent="0.2">
      <c r="A55" s="200" t="s">
        <v>21</v>
      </c>
      <c r="B55" s="200"/>
      <c r="C55" s="200"/>
      <c r="D55" s="11">
        <f>SUM(D50:D54)</f>
        <v>0</v>
      </c>
    </row>
    <row r="58" spans="1:4" x14ac:dyDescent="0.2">
      <c r="A58" s="202" t="s">
        <v>51</v>
      </c>
      <c r="B58" s="202"/>
      <c r="C58" s="202"/>
      <c r="D58" s="202"/>
    </row>
    <row r="60" spans="1:4" ht="12.75" customHeight="1" x14ac:dyDescent="0.2">
      <c r="A60" s="4">
        <v>2</v>
      </c>
      <c r="B60" s="204" t="s">
        <v>52</v>
      </c>
      <c r="C60" s="204"/>
      <c r="D60" s="4" t="s">
        <v>8</v>
      </c>
    </row>
    <row r="61" spans="1:4" ht="12.75" customHeight="1" x14ac:dyDescent="0.2">
      <c r="A61" s="5" t="s">
        <v>24</v>
      </c>
      <c r="B61" s="201" t="s">
        <v>25</v>
      </c>
      <c r="C61" s="201"/>
      <c r="D61" s="15">
        <f>D30</f>
        <v>2145.7600000000002</v>
      </c>
    </row>
    <row r="62" spans="1:4" ht="12.75" customHeight="1" x14ac:dyDescent="0.2">
      <c r="A62" s="5" t="s">
        <v>29</v>
      </c>
      <c r="B62" s="201" t="s">
        <v>30</v>
      </c>
      <c r="C62" s="201"/>
      <c r="D62" s="15">
        <f>D44</f>
        <v>4850.6099999999997</v>
      </c>
    </row>
    <row r="63" spans="1:4" ht="12.75" customHeight="1" x14ac:dyDescent="0.2">
      <c r="A63" s="5" t="s">
        <v>44</v>
      </c>
      <c r="B63" s="201" t="s">
        <v>45</v>
      </c>
      <c r="C63" s="201"/>
      <c r="D63" s="15">
        <f>D55</f>
        <v>0</v>
      </c>
    </row>
    <row r="64" spans="1:4" ht="12.75" customHeight="1" x14ac:dyDescent="0.2">
      <c r="A64" s="200" t="s">
        <v>21</v>
      </c>
      <c r="B64" s="200"/>
      <c r="C64" s="200"/>
      <c r="D64" s="11">
        <f>SUM(D61:D63)</f>
        <v>6996.37</v>
      </c>
    </row>
    <row r="65" spans="1:5" x14ac:dyDescent="0.2">
      <c r="A65" s="16"/>
    </row>
    <row r="67" spans="1:5" x14ac:dyDescent="0.2">
      <c r="A67" s="196" t="s">
        <v>53</v>
      </c>
      <c r="B67" s="196"/>
      <c r="C67" s="196"/>
      <c r="D67" s="196"/>
    </row>
    <row r="69" spans="1:5" ht="12.75" customHeight="1" x14ac:dyDescent="0.2">
      <c r="A69" s="4">
        <v>3</v>
      </c>
      <c r="B69" s="204" t="s">
        <v>54</v>
      </c>
      <c r="C69" s="204"/>
      <c r="D69" s="4" t="s">
        <v>8</v>
      </c>
    </row>
    <row r="70" spans="1:5" x14ac:dyDescent="0.2">
      <c r="A70" s="5" t="s">
        <v>9</v>
      </c>
      <c r="B70" s="17" t="s">
        <v>55</v>
      </c>
      <c r="C70" s="12">
        <f>TRUNC(((1/12)*5%),4)</f>
        <v>4.1000000000000003E-3</v>
      </c>
      <c r="D70" s="7">
        <f>TRUNC($D$20*C70,2)</f>
        <v>45.24</v>
      </c>
    </row>
    <row r="71" spans="1:5" x14ac:dyDescent="0.2">
      <c r="A71" s="5" t="s">
        <v>11</v>
      </c>
      <c r="B71" s="17" t="s">
        <v>56</v>
      </c>
      <c r="C71" s="12">
        <v>0.08</v>
      </c>
      <c r="D71" s="18">
        <f>TRUNC(D70*C71,2)</f>
        <v>3.61</v>
      </c>
      <c r="E71" s="19"/>
    </row>
    <row r="72" spans="1:5" x14ac:dyDescent="0.2">
      <c r="A72" s="5" t="s">
        <v>13</v>
      </c>
      <c r="B72" s="17" t="s">
        <v>57</v>
      </c>
      <c r="C72" s="12">
        <f>TRUNC(8%*5%*40%,4)</f>
        <v>1.6000000000000001E-3</v>
      </c>
      <c r="D72" s="7">
        <f>TRUNC($D$20*C72,2)</f>
        <v>17.649999999999999</v>
      </c>
    </row>
    <row r="73" spans="1:5" x14ac:dyDescent="0.2">
      <c r="A73" s="5" t="s">
        <v>15</v>
      </c>
      <c r="B73" s="17" t="s">
        <v>58</v>
      </c>
      <c r="C73" s="12">
        <f>TRUNC(((7/30)/12)*95%,4)</f>
        <v>1.84E-2</v>
      </c>
      <c r="D73" s="18">
        <f>TRUNC($D$20*C73,2)</f>
        <v>203.05</v>
      </c>
      <c r="E73" s="20"/>
    </row>
    <row r="74" spans="1:5" ht="12.75" customHeight="1" x14ac:dyDescent="0.2">
      <c r="A74" s="5" t="s">
        <v>17</v>
      </c>
      <c r="B74" s="17" t="s">
        <v>59</v>
      </c>
      <c r="C74" s="12">
        <f>C44</f>
        <v>0.36800000000000005</v>
      </c>
      <c r="D74" s="18">
        <f>TRUNC(D73*C74,2)</f>
        <v>74.72</v>
      </c>
      <c r="E74" s="19"/>
    </row>
    <row r="75" spans="1:5" x14ac:dyDescent="0.2">
      <c r="A75" s="5" t="s">
        <v>37</v>
      </c>
      <c r="B75" s="17" t="s">
        <v>60</v>
      </c>
      <c r="C75" s="12">
        <f>TRUNC(8%*95%*40%,4)</f>
        <v>3.04E-2</v>
      </c>
      <c r="D75" s="7">
        <f>TRUNC($D$20*C75,2)</f>
        <v>335.47</v>
      </c>
    </row>
    <row r="76" spans="1:5" ht="12.75" customHeight="1" x14ac:dyDescent="0.2">
      <c r="A76" s="200" t="s">
        <v>21</v>
      </c>
      <c r="B76" s="200"/>
      <c r="C76" s="200"/>
      <c r="D76" s="11">
        <f>SUM(D70:D75)</f>
        <v>679.74</v>
      </c>
    </row>
    <row r="79" spans="1:5" x14ac:dyDescent="0.2">
      <c r="A79" s="196" t="s">
        <v>61</v>
      </c>
      <c r="B79" s="196"/>
      <c r="C79" s="196"/>
      <c r="D79" s="196"/>
    </row>
    <row r="82" spans="1:4" x14ac:dyDescent="0.2">
      <c r="A82" s="202" t="s">
        <v>62</v>
      </c>
      <c r="B82" s="202"/>
      <c r="C82" s="202"/>
      <c r="D82" s="202"/>
    </row>
    <row r="83" spans="1:4" x14ac:dyDescent="0.2">
      <c r="A83" s="9"/>
    </row>
    <row r="84" spans="1:4" ht="12.75" customHeight="1" x14ac:dyDescent="0.2">
      <c r="A84" s="4" t="s">
        <v>63</v>
      </c>
      <c r="B84" s="204" t="s">
        <v>64</v>
      </c>
      <c r="C84" s="204"/>
      <c r="D84" s="4" t="s">
        <v>8</v>
      </c>
    </row>
    <row r="85" spans="1:4" x14ac:dyDescent="0.2">
      <c r="A85" s="5" t="s">
        <v>9</v>
      </c>
      <c r="B85" s="6" t="s">
        <v>65</v>
      </c>
      <c r="C85" s="12">
        <f>TRUNC(((1+1/3)/12)/12,4)</f>
        <v>9.1999999999999998E-3</v>
      </c>
      <c r="D85" s="7">
        <f t="shared" ref="D85:D90" si="1">TRUNC(($D$20+$D$64+$D$76)*C85,2)</f>
        <v>172.14</v>
      </c>
    </row>
    <row r="86" spans="1:4" x14ac:dyDescent="0.2">
      <c r="A86" s="5" t="s">
        <v>11</v>
      </c>
      <c r="B86" s="6" t="s">
        <v>66</v>
      </c>
      <c r="C86" s="12">
        <f>TRUNC(((2/30)/12),4)</f>
        <v>5.4999999999999997E-3</v>
      </c>
      <c r="D86" s="7">
        <f t="shared" si="1"/>
        <v>102.91</v>
      </c>
    </row>
    <row r="87" spans="1:4" x14ac:dyDescent="0.2">
      <c r="A87" s="5" t="s">
        <v>13</v>
      </c>
      <c r="B87" s="6" t="s">
        <v>67</v>
      </c>
      <c r="C87" s="12">
        <f>TRUNC(((5/30)/12)*2%,4)</f>
        <v>2.0000000000000001E-4</v>
      </c>
      <c r="D87" s="7">
        <f t="shared" si="1"/>
        <v>3.74</v>
      </c>
    </row>
    <row r="88" spans="1:4" x14ac:dyDescent="0.2">
      <c r="A88" s="5" t="s">
        <v>15</v>
      </c>
      <c r="B88" s="6" t="s">
        <v>68</v>
      </c>
      <c r="C88" s="12">
        <f>TRUNC(((15/30)/12)*8%,4)</f>
        <v>3.3E-3</v>
      </c>
      <c r="D88" s="7">
        <f t="shared" si="1"/>
        <v>61.74</v>
      </c>
    </row>
    <row r="89" spans="1:4" x14ac:dyDescent="0.2">
      <c r="A89" s="5" t="s">
        <v>17</v>
      </c>
      <c r="B89" s="6" t="s">
        <v>69</v>
      </c>
      <c r="C89" s="12">
        <f>((1+1/3)/12)*3%*(4/12)</f>
        <v>1.1111111111111109E-3</v>
      </c>
      <c r="D89" s="7">
        <f t="shared" si="1"/>
        <v>20.79</v>
      </c>
    </row>
    <row r="90" spans="1:4" x14ac:dyDescent="0.2">
      <c r="A90" s="5" t="s">
        <v>37</v>
      </c>
      <c r="B90" s="6" t="s">
        <v>70</v>
      </c>
      <c r="C90" s="12">
        <v>1.3899999999999999E-2</v>
      </c>
      <c r="D90" s="7">
        <f t="shared" si="1"/>
        <v>260.08</v>
      </c>
    </row>
    <row r="91" spans="1:4" ht="12.75" customHeight="1" x14ac:dyDescent="0.2">
      <c r="A91" s="200" t="s">
        <v>42</v>
      </c>
      <c r="B91" s="200"/>
      <c r="C91" s="200"/>
      <c r="D91" s="11">
        <f>SUM(D85:D90)</f>
        <v>621.4</v>
      </c>
    </row>
    <row r="94" spans="1:4" x14ac:dyDescent="0.2">
      <c r="A94" s="202" t="s">
        <v>71</v>
      </c>
      <c r="B94" s="202"/>
      <c r="C94" s="202"/>
      <c r="D94" s="202"/>
    </row>
    <row r="95" spans="1:4" x14ac:dyDescent="0.2">
      <c r="A95" s="9"/>
    </row>
    <row r="96" spans="1:4" ht="12.75" customHeight="1" x14ac:dyDescent="0.2">
      <c r="A96" s="4" t="s">
        <v>72</v>
      </c>
      <c r="B96" s="204" t="s">
        <v>73</v>
      </c>
      <c r="C96" s="204"/>
      <c r="D96" s="4" t="s">
        <v>8</v>
      </c>
    </row>
    <row r="97" spans="1:6" ht="12.75" customHeight="1" x14ac:dyDescent="0.2">
      <c r="A97" s="5" t="s">
        <v>9</v>
      </c>
      <c r="B97" s="201" t="s">
        <v>74</v>
      </c>
      <c r="C97" s="201"/>
      <c r="D97" s="7">
        <f>((D20+D64+D76)/220)*22*0</f>
        <v>0</v>
      </c>
      <c r="E97" s="20"/>
      <c r="F97" s="20"/>
    </row>
    <row r="98" spans="1:6" ht="12.75" customHeight="1" x14ac:dyDescent="0.2">
      <c r="A98" s="200" t="s">
        <v>21</v>
      </c>
      <c r="B98" s="200"/>
      <c r="C98" s="200"/>
      <c r="D98" s="11">
        <f>SUM(D97)</f>
        <v>0</v>
      </c>
    </row>
    <row r="101" spans="1:6" x14ac:dyDescent="0.2">
      <c r="A101" s="202" t="s">
        <v>75</v>
      </c>
      <c r="B101" s="202"/>
      <c r="C101" s="202"/>
      <c r="D101" s="202"/>
    </row>
    <row r="102" spans="1:6" x14ac:dyDescent="0.2">
      <c r="A102" s="9"/>
    </row>
    <row r="103" spans="1:6" ht="12.75" customHeight="1" x14ac:dyDescent="0.2">
      <c r="A103" s="4">
        <v>4</v>
      </c>
      <c r="B103" s="200" t="s">
        <v>76</v>
      </c>
      <c r="C103" s="200"/>
      <c r="D103" s="4" t="s">
        <v>8</v>
      </c>
    </row>
    <row r="104" spans="1:6" ht="12.75" customHeight="1" x14ac:dyDescent="0.2">
      <c r="A104" s="5" t="s">
        <v>63</v>
      </c>
      <c r="B104" s="201" t="s">
        <v>64</v>
      </c>
      <c r="C104" s="201"/>
      <c r="D104" s="15">
        <f>D91</f>
        <v>621.4</v>
      </c>
    </row>
    <row r="105" spans="1:6" ht="12.75" customHeight="1" x14ac:dyDescent="0.2">
      <c r="A105" s="5" t="s">
        <v>72</v>
      </c>
      <c r="B105" s="201" t="s">
        <v>73</v>
      </c>
      <c r="C105" s="201"/>
      <c r="D105" s="15">
        <f>D98</f>
        <v>0</v>
      </c>
    </row>
    <row r="106" spans="1:6" ht="12.75" customHeight="1" x14ac:dyDescent="0.2">
      <c r="A106" s="200" t="s">
        <v>21</v>
      </c>
      <c r="B106" s="200"/>
      <c r="C106" s="200"/>
      <c r="D106" s="11">
        <f>SUM(D104:D105)</f>
        <v>621.4</v>
      </c>
    </row>
    <row r="109" spans="1:6" x14ac:dyDescent="0.2">
      <c r="A109" s="196" t="s">
        <v>77</v>
      </c>
      <c r="B109" s="196"/>
      <c r="C109" s="196"/>
      <c r="D109" s="196"/>
    </row>
    <row r="111" spans="1:6" ht="12.75" customHeight="1" x14ac:dyDescent="0.2">
      <c r="A111" s="4">
        <v>5</v>
      </c>
      <c r="B111" s="205" t="s">
        <v>78</v>
      </c>
      <c r="C111" s="205"/>
      <c r="D111" s="4" t="s">
        <v>8</v>
      </c>
    </row>
    <row r="112" spans="1:6" x14ac:dyDescent="0.2">
      <c r="A112" s="5" t="s">
        <v>9</v>
      </c>
      <c r="B112" s="6" t="s">
        <v>79</v>
      </c>
      <c r="C112" s="6"/>
      <c r="D112" s="7">
        <v>0</v>
      </c>
    </row>
    <row r="113" spans="1:4" x14ac:dyDescent="0.2">
      <c r="A113" s="5" t="s">
        <v>11</v>
      </c>
      <c r="B113" s="6" t="s">
        <v>180</v>
      </c>
      <c r="C113" s="6"/>
      <c r="D113" s="143">
        <v>243</v>
      </c>
    </row>
    <row r="114" spans="1:4" x14ac:dyDescent="0.2">
      <c r="A114" s="5" t="s">
        <v>13</v>
      </c>
      <c r="B114" s="6" t="s">
        <v>80</v>
      </c>
      <c r="C114" s="6"/>
      <c r="D114" s="7">
        <f>EPIs!F13</f>
        <v>15.119979000000001</v>
      </c>
    </row>
    <row r="115" spans="1:4" x14ac:dyDescent="0.2">
      <c r="A115" s="5" t="s">
        <v>15</v>
      </c>
      <c r="B115" s="6" t="s">
        <v>81</v>
      </c>
      <c r="C115" s="6"/>
      <c r="D115" s="143">
        <v>233.94</v>
      </c>
    </row>
    <row r="116" spans="1:4" ht="12.75" customHeight="1" x14ac:dyDescent="0.2">
      <c r="A116" s="200" t="s">
        <v>42</v>
      </c>
      <c r="B116" s="200"/>
      <c r="C116" s="200"/>
      <c r="D116" s="8">
        <f>SUM(D112:D115)</f>
        <v>492.059979</v>
      </c>
    </row>
    <row r="119" spans="1:4" x14ac:dyDescent="0.2">
      <c r="A119" s="196" t="s">
        <v>82</v>
      </c>
      <c r="B119" s="196"/>
      <c r="C119" s="196"/>
      <c r="D119" s="196"/>
    </row>
    <row r="121" spans="1:4" x14ac:dyDescent="0.2">
      <c r="A121" s="4">
        <v>6</v>
      </c>
      <c r="B121" s="21" t="s">
        <v>83</v>
      </c>
      <c r="C121" s="4" t="s">
        <v>31</v>
      </c>
      <c r="D121" s="4" t="s">
        <v>8</v>
      </c>
    </row>
    <row r="122" spans="1:4" x14ac:dyDescent="0.2">
      <c r="A122" s="5" t="s">
        <v>9</v>
      </c>
      <c r="B122" s="6" t="s">
        <v>84</v>
      </c>
      <c r="C122" s="12">
        <v>7.6999999999999999E-2</v>
      </c>
      <c r="D122" s="15">
        <f>D139*C122</f>
        <v>1526.5196083830003</v>
      </c>
    </row>
    <row r="123" spans="1:4" x14ac:dyDescent="0.2">
      <c r="A123" s="5" t="s">
        <v>11</v>
      </c>
      <c r="B123" s="6" t="s">
        <v>85</v>
      </c>
      <c r="C123" s="12">
        <v>0.06</v>
      </c>
      <c r="D123" s="7">
        <f>(D139+D122)*C123</f>
        <v>1281.0869752429803</v>
      </c>
    </row>
    <row r="124" spans="1:4" x14ac:dyDescent="0.2">
      <c r="A124" s="5" t="s">
        <v>13</v>
      </c>
      <c r="B124" s="6" t="s">
        <v>86</v>
      </c>
      <c r="C124" s="10">
        <f>SUM(C125:C127)</f>
        <v>8.6499999999999994E-2</v>
      </c>
      <c r="D124" s="7">
        <f>(D139+D122+D123)*C124/(1-C124)</f>
        <v>2143.0918584205228</v>
      </c>
    </row>
    <row r="125" spans="1:4" x14ac:dyDescent="0.2">
      <c r="A125" s="5"/>
      <c r="B125" s="6" t="s">
        <v>87</v>
      </c>
      <c r="C125" s="12">
        <v>3.6499999999999998E-2</v>
      </c>
      <c r="D125" s="15">
        <f>$D$141*C125</f>
        <v>904.31043736819754</v>
      </c>
    </row>
    <row r="126" spans="1:4" x14ac:dyDescent="0.2">
      <c r="A126" s="5"/>
      <c r="B126" s="6" t="s">
        <v>88</v>
      </c>
      <c r="C126" s="5"/>
      <c r="D126" s="15">
        <f>$D$141*C126</f>
        <v>0</v>
      </c>
    </row>
    <row r="127" spans="1:4" x14ac:dyDescent="0.2">
      <c r="A127" s="5"/>
      <c r="B127" s="6" t="s">
        <v>89</v>
      </c>
      <c r="C127" s="12">
        <v>0.05</v>
      </c>
      <c r="D127" s="15">
        <f>$D$141*C127</f>
        <v>1238.7814210523256</v>
      </c>
    </row>
    <row r="128" spans="1:4" ht="13.5" customHeight="1" x14ac:dyDescent="0.2">
      <c r="A128" s="206" t="s">
        <v>42</v>
      </c>
      <c r="B128" s="206"/>
      <c r="C128" s="22">
        <f>(1+C123)*(1+C122)/(1-C124)-1</f>
        <v>0.24972085385878495</v>
      </c>
      <c r="D128" s="11">
        <f>SUM(D122:D124)</f>
        <v>4950.6984420465033</v>
      </c>
    </row>
    <row r="131" spans="1:4" x14ac:dyDescent="0.2">
      <c r="A131" s="196" t="s">
        <v>90</v>
      </c>
      <c r="B131" s="196"/>
      <c r="C131" s="196"/>
      <c r="D131" s="196"/>
    </row>
    <row r="133" spans="1:4" ht="12.75" customHeight="1" x14ac:dyDescent="0.2">
      <c r="A133" s="4"/>
      <c r="B133" s="200" t="s">
        <v>91</v>
      </c>
      <c r="C133" s="200"/>
      <c r="D133" s="4" t="s">
        <v>8</v>
      </c>
    </row>
    <row r="134" spans="1:4" ht="12.75" customHeight="1" x14ac:dyDescent="0.2">
      <c r="A134" s="4" t="s">
        <v>9</v>
      </c>
      <c r="B134" s="201" t="s">
        <v>6</v>
      </c>
      <c r="C134" s="201"/>
      <c r="D134" s="23">
        <f>D20</f>
        <v>11035.36</v>
      </c>
    </row>
    <row r="135" spans="1:4" ht="12.75" customHeight="1" x14ac:dyDescent="0.2">
      <c r="A135" s="4" t="s">
        <v>11</v>
      </c>
      <c r="B135" s="201" t="s">
        <v>22</v>
      </c>
      <c r="C135" s="201"/>
      <c r="D135" s="23">
        <f>D64</f>
        <v>6996.37</v>
      </c>
    </row>
    <row r="136" spans="1:4" ht="12.75" customHeight="1" x14ac:dyDescent="0.2">
      <c r="A136" s="4" t="s">
        <v>13</v>
      </c>
      <c r="B136" s="201" t="s">
        <v>53</v>
      </c>
      <c r="C136" s="201"/>
      <c r="D136" s="23">
        <f>D76</f>
        <v>679.74</v>
      </c>
    </row>
    <row r="137" spans="1:4" ht="12.75" customHeight="1" x14ac:dyDescent="0.2">
      <c r="A137" s="4" t="s">
        <v>15</v>
      </c>
      <c r="B137" s="201" t="s">
        <v>61</v>
      </c>
      <c r="C137" s="201"/>
      <c r="D137" s="23">
        <f>D106</f>
        <v>621.4</v>
      </c>
    </row>
    <row r="138" spans="1:4" ht="12.75" customHeight="1" x14ac:dyDescent="0.2">
      <c r="A138" s="4" t="s">
        <v>17</v>
      </c>
      <c r="B138" s="201" t="s">
        <v>77</v>
      </c>
      <c r="C138" s="201"/>
      <c r="D138" s="23">
        <f>D116</f>
        <v>492.059979</v>
      </c>
    </row>
    <row r="139" spans="1:4" ht="12.75" customHeight="1" x14ac:dyDescent="0.2">
      <c r="A139" s="200" t="s">
        <v>92</v>
      </c>
      <c r="B139" s="200"/>
      <c r="C139" s="200"/>
      <c r="D139" s="24">
        <f>SUM(D134:D138)</f>
        <v>19824.929979000004</v>
      </c>
    </row>
    <row r="140" spans="1:4" ht="12.75" customHeight="1" x14ac:dyDescent="0.2">
      <c r="A140" s="4" t="s">
        <v>37</v>
      </c>
      <c r="B140" s="201" t="s">
        <v>93</v>
      </c>
      <c r="C140" s="201"/>
      <c r="D140" s="25">
        <f>D128</f>
        <v>4950.6984420465033</v>
      </c>
    </row>
    <row r="141" spans="1:4" ht="12.75" customHeight="1" x14ac:dyDescent="0.2">
      <c r="A141" s="200" t="s">
        <v>94</v>
      </c>
      <c r="B141" s="200"/>
      <c r="C141" s="200"/>
      <c r="D141" s="24">
        <f>SUM(D139:D140)</f>
        <v>24775.628421046509</v>
      </c>
    </row>
  </sheetData>
  <mergeCells count="67">
    <mergeCell ref="B16:C16"/>
    <mergeCell ref="A1:D1"/>
    <mergeCell ref="A3:D3"/>
    <mergeCell ref="C5:D5"/>
    <mergeCell ref="C6:D6"/>
    <mergeCell ref="C7:D7"/>
    <mergeCell ref="C8:D8"/>
    <mergeCell ref="A10:D10"/>
    <mergeCell ref="B12:C12"/>
    <mergeCell ref="B13:C13"/>
    <mergeCell ref="B14:C14"/>
    <mergeCell ref="B15:C15"/>
    <mergeCell ref="B49:C49"/>
    <mergeCell ref="B17:C17"/>
    <mergeCell ref="B18:C18"/>
    <mergeCell ref="B19:C19"/>
    <mergeCell ref="A20:C20"/>
    <mergeCell ref="A23:D23"/>
    <mergeCell ref="A25:D25"/>
    <mergeCell ref="B27:C27"/>
    <mergeCell ref="A30:C30"/>
    <mergeCell ref="A33:D33"/>
    <mergeCell ref="A44:B44"/>
    <mergeCell ref="A47:D47"/>
    <mergeCell ref="A64:C64"/>
    <mergeCell ref="B50:C50"/>
    <mergeCell ref="B51:C51"/>
    <mergeCell ref="B52:C52"/>
    <mergeCell ref="B53:C53"/>
    <mergeCell ref="B54:C54"/>
    <mergeCell ref="A55:C55"/>
    <mergeCell ref="A58:D58"/>
    <mergeCell ref="B60:C60"/>
    <mergeCell ref="B61:C61"/>
    <mergeCell ref="B62:C62"/>
    <mergeCell ref="B63:C63"/>
    <mergeCell ref="A101:D101"/>
    <mergeCell ref="A67:D67"/>
    <mergeCell ref="B69:C69"/>
    <mergeCell ref="A76:C76"/>
    <mergeCell ref="A79:D79"/>
    <mergeCell ref="A82:D82"/>
    <mergeCell ref="B84:C84"/>
    <mergeCell ref="A91:C91"/>
    <mergeCell ref="A94:D94"/>
    <mergeCell ref="B96:C96"/>
    <mergeCell ref="B97:C97"/>
    <mergeCell ref="A98:C98"/>
    <mergeCell ref="B134:C134"/>
    <mergeCell ref="B103:C103"/>
    <mergeCell ref="B104:C104"/>
    <mergeCell ref="B105:C105"/>
    <mergeCell ref="A106:C106"/>
    <mergeCell ref="A109:D109"/>
    <mergeCell ref="B111:C111"/>
    <mergeCell ref="A116:C116"/>
    <mergeCell ref="A119:D119"/>
    <mergeCell ref="A128:B128"/>
    <mergeCell ref="A131:D131"/>
    <mergeCell ref="B133:C133"/>
    <mergeCell ref="A141:C141"/>
    <mergeCell ref="B135:C135"/>
    <mergeCell ref="B136:C136"/>
    <mergeCell ref="B137:C137"/>
    <mergeCell ref="B138:C138"/>
    <mergeCell ref="A139:C139"/>
    <mergeCell ref="B140:C140"/>
  </mergeCells>
  <pageMargins left="0.51180555555555496" right="0.51180555555555496" top="0.78749999999999998" bottom="0.78749999999999998" header="0.51180555555555496" footer="0.51180555555555496"/>
  <pageSetup paperSize="9" scale="88" firstPageNumber="0" fitToHeight="0" orientation="portrait" r:id="rId1"/>
  <rowBreaks count="1" manualBreakCount="1">
    <brk id="6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3"/>
  <sheetViews>
    <sheetView view="pageBreakPreview" topLeftCell="A4" zoomScaleNormal="100" workbookViewId="0">
      <selection activeCell="F12" sqref="F12"/>
    </sheetView>
  </sheetViews>
  <sheetFormatPr defaultColWidth="8.6640625" defaultRowHeight="12.75" x14ac:dyDescent="0.2"/>
  <cols>
    <col min="2" max="2" width="34.83203125" customWidth="1"/>
    <col min="4" max="4" width="14.6640625" customWidth="1"/>
    <col min="5" max="5" width="16.1640625" customWidth="1"/>
    <col min="6" max="6" width="16.5" customWidth="1"/>
  </cols>
  <sheetData>
    <row r="3" spans="1:6" x14ac:dyDescent="0.2">
      <c r="B3" s="26" t="s">
        <v>95</v>
      </c>
    </row>
    <row r="5" spans="1:6" ht="24" x14ac:dyDescent="0.2">
      <c r="A5" s="27" t="s">
        <v>96</v>
      </c>
      <c r="B5" s="27" t="s">
        <v>97</v>
      </c>
      <c r="C5" s="27" t="s">
        <v>98</v>
      </c>
      <c r="D5" s="27" t="s">
        <v>99</v>
      </c>
      <c r="E5" s="27" t="s">
        <v>100</v>
      </c>
      <c r="F5" s="27" t="s">
        <v>101</v>
      </c>
    </row>
    <row r="6" spans="1:6" ht="51.75" customHeight="1" x14ac:dyDescent="0.2">
      <c r="A6" s="28">
        <v>1</v>
      </c>
      <c r="B6" s="28" t="s">
        <v>102</v>
      </c>
      <c r="C6" s="28" t="s">
        <v>103</v>
      </c>
      <c r="D6" s="28">
        <v>1</v>
      </c>
      <c r="E6" s="28">
        <v>12892</v>
      </c>
      <c r="F6" s="29">
        <f>8.91*1.0731</f>
        <v>9.5613209999999995</v>
      </c>
    </row>
    <row r="7" spans="1:6" ht="58.5" customHeight="1" x14ac:dyDescent="0.2">
      <c r="A7" s="28">
        <v>3</v>
      </c>
      <c r="B7" s="28" t="s">
        <v>104</v>
      </c>
      <c r="C7" s="28" t="s">
        <v>98</v>
      </c>
      <c r="D7" s="28">
        <v>1</v>
      </c>
      <c r="E7" s="28">
        <v>12894</v>
      </c>
      <c r="F7" s="29">
        <f>12.87*1.0731</f>
        <v>13.810796999999999</v>
      </c>
    </row>
    <row r="8" spans="1:6" ht="73.5" customHeight="1" x14ac:dyDescent="0.2">
      <c r="A8" s="28">
        <v>4</v>
      </c>
      <c r="B8" s="28" t="s">
        <v>105</v>
      </c>
      <c r="C8" s="28" t="s">
        <v>98</v>
      </c>
      <c r="D8" s="28">
        <v>1</v>
      </c>
      <c r="E8" s="28">
        <v>12895</v>
      </c>
      <c r="F8" s="29">
        <f>9.9*1.0731</f>
        <v>10.62369</v>
      </c>
    </row>
    <row r="9" spans="1:6" ht="66" customHeight="1" x14ac:dyDescent="0.2">
      <c r="A9" s="28">
        <v>5</v>
      </c>
      <c r="B9" s="28" t="s">
        <v>106</v>
      </c>
      <c r="C9" s="28" t="s">
        <v>98</v>
      </c>
      <c r="D9" s="28">
        <v>1</v>
      </c>
      <c r="E9" s="28">
        <v>36142</v>
      </c>
      <c r="F9" s="29">
        <f>1.48*1.0731</f>
        <v>1.5881879999999999</v>
      </c>
    </row>
    <row r="10" spans="1:6" ht="70.5" customHeight="1" x14ac:dyDescent="0.2">
      <c r="A10" s="28">
        <v>6</v>
      </c>
      <c r="B10" s="28" t="s">
        <v>107</v>
      </c>
      <c r="C10" s="28" t="s">
        <v>98</v>
      </c>
      <c r="D10" s="28">
        <v>1</v>
      </c>
      <c r="E10" s="28">
        <v>36148</v>
      </c>
      <c r="F10" s="29">
        <f>47.52*1.0731</f>
        <v>50.993712000000002</v>
      </c>
    </row>
    <row r="11" spans="1:6" ht="71.25" customHeight="1" x14ac:dyDescent="0.2">
      <c r="A11" s="28">
        <v>7</v>
      </c>
      <c r="B11" s="28" t="s">
        <v>108</v>
      </c>
      <c r="C11" s="28" t="s">
        <v>98</v>
      </c>
      <c r="D11" s="28">
        <v>1</v>
      </c>
      <c r="E11" s="28">
        <v>36152</v>
      </c>
      <c r="F11" s="29">
        <f>3.86*1.0731</f>
        <v>4.1421659999999996</v>
      </c>
    </row>
    <row r="12" spans="1:6" ht="20.25" customHeight="1" x14ac:dyDescent="0.2">
      <c r="A12" s="207" t="s">
        <v>109</v>
      </c>
      <c r="B12" s="207"/>
      <c r="C12" s="207"/>
      <c r="D12" s="207"/>
      <c r="E12" s="207"/>
      <c r="F12" s="30">
        <f>SUM(F6:F11)</f>
        <v>90.719874000000004</v>
      </c>
    </row>
    <row r="13" spans="1:6" ht="18.75" customHeight="1" x14ac:dyDescent="0.2">
      <c r="A13" s="208" t="s">
        <v>110</v>
      </c>
      <c r="B13" s="208"/>
      <c r="C13" s="208"/>
      <c r="D13" s="208"/>
      <c r="E13" s="208"/>
      <c r="F13" s="31">
        <f>F12/6</f>
        <v>15.119979000000001</v>
      </c>
    </row>
  </sheetData>
  <mergeCells count="2">
    <mergeCell ref="A12:E12"/>
    <mergeCell ref="A13:E13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view="pageBreakPreview" zoomScaleNormal="100" zoomScaleSheetLayoutView="100" workbookViewId="0">
      <selection activeCell="G9" sqref="G9:H9"/>
    </sheetView>
  </sheetViews>
  <sheetFormatPr defaultColWidth="8.6640625" defaultRowHeight="12.75" x14ac:dyDescent="0.2"/>
  <cols>
    <col min="1" max="1" width="13.83203125" customWidth="1"/>
    <col min="2" max="2" width="16.6640625" customWidth="1"/>
    <col min="3" max="3" width="10.6640625" customWidth="1"/>
    <col min="4" max="4" width="10.83203125" customWidth="1"/>
    <col min="5" max="5" width="13.5" customWidth="1"/>
    <col min="6" max="6" width="17" customWidth="1"/>
    <col min="7" max="7" width="12.83203125" customWidth="1"/>
    <col min="8" max="8" width="19" customWidth="1"/>
  </cols>
  <sheetData>
    <row r="1" spans="1:8" ht="18.75" x14ac:dyDescent="0.3">
      <c r="A1" s="209" t="s">
        <v>211</v>
      </c>
      <c r="B1" s="209"/>
      <c r="C1" s="209"/>
      <c r="D1" s="209"/>
      <c r="E1" s="209"/>
      <c r="F1" s="209"/>
      <c r="G1" s="209"/>
      <c r="H1" s="209"/>
    </row>
    <row r="4" spans="1:8" ht="12.75" customHeight="1" x14ac:dyDescent="0.2">
      <c r="A4" s="214" t="s">
        <v>111</v>
      </c>
      <c r="B4" s="215" t="s">
        <v>112</v>
      </c>
      <c r="C4" s="215" t="s">
        <v>113</v>
      </c>
      <c r="D4" s="215"/>
      <c r="E4" s="212" t="s">
        <v>114</v>
      </c>
      <c r="F4" s="212"/>
      <c r="G4" s="212" t="s">
        <v>115</v>
      </c>
      <c r="H4" s="212"/>
    </row>
    <row r="5" spans="1:8" ht="25.5" x14ac:dyDescent="0.2">
      <c r="A5" s="214"/>
      <c r="B5" s="215"/>
      <c r="C5" s="32" t="s">
        <v>116</v>
      </c>
      <c r="D5" s="32" t="s">
        <v>117</v>
      </c>
      <c r="E5" s="33" t="s">
        <v>116</v>
      </c>
      <c r="F5" s="33" t="s">
        <v>117</v>
      </c>
      <c r="G5" s="33" t="s">
        <v>116</v>
      </c>
      <c r="H5" s="33" t="s">
        <v>117</v>
      </c>
    </row>
    <row r="6" spans="1:8" ht="30" customHeight="1" x14ac:dyDescent="0.2">
      <c r="A6" s="34" t="s">
        <v>118</v>
      </c>
      <c r="B6" s="35">
        <f>engeletr.arq!D20</f>
        <v>11035.36</v>
      </c>
      <c r="C6" s="36">
        <v>16</v>
      </c>
      <c r="D6" s="36">
        <v>6</v>
      </c>
      <c r="E6" s="37">
        <f>($B$6*(1+engeletr.arq!$C$44)*(1+engeletr.arq!$C$128)/200)*1.5</f>
        <v>141.49688629406899</v>
      </c>
      <c r="F6" s="37">
        <f>($B$6*(1+engeletr.arq!$C$44)*(1+engeletr.arq!$C$128)/200)*2</f>
        <v>188.66251505875866</v>
      </c>
      <c r="G6" s="38">
        <f>C6*E6</f>
        <v>2263.9501807051038</v>
      </c>
      <c r="H6" s="37">
        <f>D6*F6</f>
        <v>1131.9750903525519</v>
      </c>
    </row>
    <row r="7" spans="1:8" x14ac:dyDescent="0.2">
      <c r="G7" s="39">
        <f>SUM(G6:G6)</f>
        <v>2263.9501807051038</v>
      </c>
      <c r="H7" s="39">
        <f>SUM(H6:H6)</f>
        <v>1131.9750903525519</v>
      </c>
    </row>
    <row r="8" spans="1:8" x14ac:dyDescent="0.2">
      <c r="E8" s="210" t="s">
        <v>119</v>
      </c>
      <c r="F8" s="210"/>
      <c r="G8" s="211">
        <f>(G7+H7)*7</f>
        <v>23771.476897403591</v>
      </c>
      <c r="H8" s="211"/>
    </row>
    <row r="9" spans="1:8" x14ac:dyDescent="0.2">
      <c r="E9" s="212" t="s">
        <v>120</v>
      </c>
      <c r="F9" s="212"/>
      <c r="G9" s="213">
        <f>G8*6</f>
        <v>142628.86138442153</v>
      </c>
      <c r="H9" s="213"/>
    </row>
  </sheetData>
  <mergeCells count="10">
    <mergeCell ref="A1:H1"/>
    <mergeCell ref="E8:F8"/>
    <mergeCell ref="G8:H8"/>
    <mergeCell ref="E9:F9"/>
    <mergeCell ref="G9:H9"/>
    <mergeCell ref="A4:A5"/>
    <mergeCell ref="B4:B5"/>
    <mergeCell ref="C4:D4"/>
    <mergeCell ref="E4:F4"/>
    <mergeCell ref="G4:H4"/>
  </mergeCells>
  <pageMargins left="0.51180555555555496" right="0.51180555555555496" top="0.78749999999999998" bottom="0.78749999999999998" header="0.51180555555555496" footer="0.51180555555555496"/>
  <pageSetup paperSize="9" scale="90" firstPageNumber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1"/>
  <sheetViews>
    <sheetView view="pageBreakPreview" topLeftCell="A4" zoomScaleNormal="120" zoomScaleSheetLayoutView="100" workbookViewId="0">
      <selection activeCell="E17" sqref="E17:E37"/>
    </sheetView>
  </sheetViews>
  <sheetFormatPr defaultColWidth="10" defaultRowHeight="12.75" x14ac:dyDescent="0.2"/>
  <cols>
    <col min="1" max="1" width="18.33203125" style="42" customWidth="1"/>
    <col min="2" max="2" width="12" style="42" customWidth="1"/>
    <col min="3" max="3" width="11.1640625" style="42" customWidth="1"/>
    <col min="4" max="4" width="10.6640625" style="43" customWidth="1"/>
    <col min="5" max="5" width="11.33203125" style="44" customWidth="1"/>
    <col min="6" max="6" width="10.5" style="45" customWidth="1"/>
    <col min="7" max="9" width="11.33203125" style="46" customWidth="1"/>
    <col min="10" max="10" width="13.5" style="46" customWidth="1"/>
    <col min="11" max="11" width="10.5" style="42" customWidth="1"/>
    <col min="12" max="12" width="11.5" style="42" customWidth="1"/>
    <col min="13" max="13" width="13.5" style="42" customWidth="1"/>
    <col min="14" max="14" width="10.83203125" style="47" customWidth="1"/>
    <col min="15" max="15" width="14.1640625" style="48" customWidth="1"/>
    <col min="16" max="16" width="6.1640625" style="49" customWidth="1"/>
    <col min="17" max="17" width="15.5" style="50" customWidth="1"/>
    <col min="18" max="1024" width="10" style="42"/>
  </cols>
  <sheetData>
    <row r="1" spans="1:18" x14ac:dyDescent="0.2">
      <c r="A1" s="216" t="s">
        <v>122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51"/>
      <c r="Q1" s="52"/>
    </row>
    <row r="2" spans="1:18" x14ac:dyDescent="0.2">
      <c r="A2" s="217" t="s">
        <v>123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51"/>
      <c r="Q2" s="52"/>
    </row>
    <row r="3" spans="1:18" x14ac:dyDescent="0.2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8" s="55" customFormat="1" ht="11.25" x14ac:dyDescent="0.2">
      <c r="A4" s="218" t="s">
        <v>124</v>
      </c>
      <c r="B4" s="218"/>
      <c r="C4" s="218"/>
      <c r="D4" s="218"/>
      <c r="E4" s="218"/>
      <c r="F4" s="218"/>
      <c r="G4" s="54"/>
      <c r="H4" s="54"/>
      <c r="I4" s="54"/>
      <c r="J4" s="54"/>
      <c r="N4" s="47"/>
      <c r="O4" s="47"/>
      <c r="P4" s="56"/>
      <c r="Q4" s="57"/>
    </row>
    <row r="5" spans="1:18" x14ac:dyDescent="0.2">
      <c r="A5" s="219" t="s">
        <v>125</v>
      </c>
      <c r="B5" s="219"/>
      <c r="C5" s="219"/>
      <c r="D5" s="219"/>
      <c r="E5" s="219"/>
      <c r="F5" s="58">
        <v>80</v>
      </c>
    </row>
    <row r="6" spans="1:18" x14ac:dyDescent="0.2">
      <c r="A6" s="219" t="s">
        <v>126</v>
      </c>
      <c r="B6" s="219"/>
      <c r="C6" s="219"/>
      <c r="D6" s="219"/>
      <c r="E6" s="219"/>
      <c r="F6" s="58">
        <v>4</v>
      </c>
    </row>
    <row r="7" spans="1:18" x14ac:dyDescent="0.2">
      <c r="A7" s="219" t="s">
        <v>127</v>
      </c>
      <c r="B7" s="219"/>
      <c r="C7" s="219"/>
      <c r="D7" s="219"/>
      <c r="E7" s="219"/>
      <c r="F7" s="58">
        <v>90</v>
      </c>
    </row>
    <row r="8" spans="1:18" x14ac:dyDescent="0.2">
      <c r="A8" s="219" t="s">
        <v>128</v>
      </c>
      <c r="B8" s="219"/>
      <c r="C8" s="219"/>
      <c r="D8" s="219"/>
      <c r="E8" s="219"/>
      <c r="F8" s="59" t="s">
        <v>129</v>
      </c>
    </row>
    <row r="9" spans="1:18" x14ac:dyDescent="0.2">
      <c r="A9" s="219" t="s">
        <v>130</v>
      </c>
      <c r="B9" s="219"/>
      <c r="C9" s="219"/>
      <c r="D9" s="219"/>
      <c r="E9" s="219"/>
      <c r="F9" s="60">
        <v>7.2140000000000004</v>
      </c>
    </row>
    <row r="10" spans="1:18" x14ac:dyDescent="0.2">
      <c r="A10" s="219" t="s">
        <v>131</v>
      </c>
      <c r="B10" s="219"/>
      <c r="C10" s="219"/>
      <c r="D10" s="219"/>
      <c r="E10" s="219"/>
      <c r="F10" s="58">
        <v>10</v>
      </c>
    </row>
    <row r="11" spans="1:18" x14ac:dyDescent="0.2">
      <c r="A11" s="219" t="s">
        <v>132</v>
      </c>
      <c r="B11" s="219"/>
      <c r="C11" s="219"/>
      <c r="D11" s="219"/>
      <c r="E11" s="219"/>
      <c r="F11" s="61">
        <v>200</v>
      </c>
    </row>
    <row r="12" spans="1:18" x14ac:dyDescent="0.2">
      <c r="N12" s="62"/>
    </row>
    <row r="13" spans="1:18" x14ac:dyDescent="0.2">
      <c r="A13" s="63"/>
      <c r="B13" s="63"/>
      <c r="C13" s="63"/>
    </row>
    <row r="14" spans="1:18" s="74" customFormat="1" ht="90" x14ac:dyDescent="0.2">
      <c r="A14" s="64" t="s">
        <v>133</v>
      </c>
      <c r="B14" s="65" t="s">
        <v>134</v>
      </c>
      <c r="C14" s="65" t="s">
        <v>135</v>
      </c>
      <c r="D14" s="66" t="s">
        <v>136</v>
      </c>
      <c r="E14" s="67" t="s">
        <v>137</v>
      </c>
      <c r="F14" s="68" t="s">
        <v>138</v>
      </c>
      <c r="G14" s="69" t="s">
        <v>139</v>
      </c>
      <c r="H14" s="69" t="s">
        <v>140</v>
      </c>
      <c r="I14" s="69" t="s">
        <v>141</v>
      </c>
      <c r="J14" s="65" t="s">
        <v>142</v>
      </c>
      <c r="K14" s="65" t="s">
        <v>143</v>
      </c>
      <c r="L14" s="65" t="s">
        <v>144</v>
      </c>
      <c r="M14" s="65" t="s">
        <v>145</v>
      </c>
      <c r="N14" s="70" t="s">
        <v>146</v>
      </c>
      <c r="O14" s="71" t="s">
        <v>147</v>
      </c>
      <c r="P14" s="72"/>
      <c r="Q14" s="73" t="s">
        <v>148</v>
      </c>
    </row>
    <row r="15" spans="1:18" s="84" customFormat="1" ht="11.25" x14ac:dyDescent="0.2">
      <c r="A15" s="75" t="s">
        <v>149</v>
      </c>
      <c r="B15" s="76" t="s">
        <v>149</v>
      </c>
      <c r="C15" s="76" t="s">
        <v>150</v>
      </c>
      <c r="D15" s="77" t="s">
        <v>151</v>
      </c>
      <c r="E15" s="78" t="s">
        <v>151</v>
      </c>
      <c r="F15" s="79" t="s">
        <v>151</v>
      </c>
      <c r="G15" s="77" t="s">
        <v>152</v>
      </c>
      <c r="H15" s="77" t="s">
        <v>153</v>
      </c>
      <c r="I15" s="76" t="s">
        <v>153</v>
      </c>
      <c r="J15" s="76" t="s">
        <v>154</v>
      </c>
      <c r="K15" s="76" t="s">
        <v>154</v>
      </c>
      <c r="L15" s="76" t="s">
        <v>154</v>
      </c>
      <c r="M15" s="76" t="s">
        <v>154</v>
      </c>
      <c r="N15" s="80">
        <f>engeletr.arq!C128</f>
        <v>0.24972085385878495</v>
      </c>
      <c r="O15" s="81" t="s">
        <v>154</v>
      </c>
      <c r="P15" s="82"/>
      <c r="Q15" s="83"/>
    </row>
    <row r="16" spans="1:18" s="84" customFormat="1" ht="11.25" x14ac:dyDescent="0.2">
      <c r="A16" s="85">
        <v>100</v>
      </c>
      <c r="B16" s="86">
        <v>20</v>
      </c>
      <c r="C16" s="87">
        <f t="shared" ref="C16:C37" si="0">((A16+B16)/10)</f>
        <v>12</v>
      </c>
      <c r="D16" s="88">
        <f t="shared" ref="D16:D37" si="1">((A16+B16)/80)</f>
        <v>1.5</v>
      </c>
      <c r="E16" s="89">
        <v>4</v>
      </c>
      <c r="F16" s="90">
        <f t="shared" ref="F16:F37" si="2">D16+E16</f>
        <v>5.5</v>
      </c>
      <c r="G16" s="91">
        <f t="shared" ref="G16:G37" si="3">F16/9</f>
        <v>0.61111111111111116</v>
      </c>
      <c r="H16" s="92">
        <f t="shared" ref="H16:H37" si="4">ROUNDUP(G16,0)</f>
        <v>1</v>
      </c>
      <c r="I16" s="93">
        <f t="shared" ref="I16:I37" si="5">H16-0.5</f>
        <v>0.5</v>
      </c>
      <c r="J16" s="94">
        <f t="shared" ref="J16:J37" si="6">C16*$F$9</f>
        <v>86.568000000000012</v>
      </c>
      <c r="K16" s="95">
        <f t="shared" ref="K16:K37" si="7">H16*$F$7</f>
        <v>90</v>
      </c>
      <c r="L16" s="95">
        <f t="shared" ref="L16:L37" si="8">(I16*$F$11)*1</f>
        <v>100</v>
      </c>
      <c r="M16" s="96">
        <f t="shared" ref="M16:M37" si="9">J16+K16+L16</f>
        <v>276.56799999999998</v>
      </c>
      <c r="N16" s="94">
        <f t="shared" ref="N16:N37" si="10">M16*$N$15</f>
        <v>69.064797110016428</v>
      </c>
      <c r="O16" s="97">
        <f t="shared" ref="O16:O37" si="11">M16+N16</f>
        <v>345.63279711001644</v>
      </c>
      <c r="P16" s="72">
        <v>1</v>
      </c>
      <c r="Q16" s="98">
        <f t="shared" ref="Q16:Q37" si="12">O16/H16</f>
        <v>345.63279711001644</v>
      </c>
      <c r="R16" s="99"/>
    </row>
    <row r="17" spans="1:18" s="84" customFormat="1" ht="11.25" x14ac:dyDescent="0.2">
      <c r="A17" s="85">
        <v>200</v>
      </c>
      <c r="B17" s="86">
        <v>20</v>
      </c>
      <c r="C17" s="87">
        <f t="shared" si="0"/>
        <v>22</v>
      </c>
      <c r="D17" s="88">
        <f t="shared" si="1"/>
        <v>2.75</v>
      </c>
      <c r="E17" s="89">
        <v>4</v>
      </c>
      <c r="F17" s="90">
        <f t="shared" si="2"/>
        <v>6.75</v>
      </c>
      <c r="G17" s="91">
        <f t="shared" si="3"/>
        <v>0.75</v>
      </c>
      <c r="H17" s="92">
        <f t="shared" si="4"/>
        <v>1</v>
      </c>
      <c r="I17" s="93">
        <f t="shared" si="5"/>
        <v>0.5</v>
      </c>
      <c r="J17" s="94">
        <f t="shared" si="6"/>
        <v>158.708</v>
      </c>
      <c r="K17" s="95">
        <f t="shared" si="7"/>
        <v>90</v>
      </c>
      <c r="L17" s="95">
        <f t="shared" si="8"/>
        <v>100</v>
      </c>
      <c r="M17" s="96">
        <f t="shared" si="9"/>
        <v>348.70799999999997</v>
      </c>
      <c r="N17" s="94">
        <f t="shared" si="10"/>
        <v>87.079659507389181</v>
      </c>
      <c r="O17" s="97">
        <f t="shared" si="11"/>
        <v>435.78765950738915</v>
      </c>
      <c r="P17" s="72">
        <v>2</v>
      </c>
      <c r="Q17" s="98">
        <f t="shared" si="12"/>
        <v>435.78765950738915</v>
      </c>
      <c r="R17" s="99"/>
    </row>
    <row r="18" spans="1:18" s="74" customFormat="1" ht="11.25" x14ac:dyDescent="0.2">
      <c r="A18" s="85">
        <v>300</v>
      </c>
      <c r="B18" s="86">
        <v>20</v>
      </c>
      <c r="C18" s="87">
        <f t="shared" si="0"/>
        <v>32</v>
      </c>
      <c r="D18" s="88">
        <f t="shared" si="1"/>
        <v>4</v>
      </c>
      <c r="E18" s="89">
        <v>4</v>
      </c>
      <c r="F18" s="90">
        <f t="shared" si="2"/>
        <v>8</v>
      </c>
      <c r="G18" s="91">
        <f t="shared" si="3"/>
        <v>0.88888888888888884</v>
      </c>
      <c r="H18" s="92">
        <f t="shared" si="4"/>
        <v>1</v>
      </c>
      <c r="I18" s="93">
        <f t="shared" si="5"/>
        <v>0.5</v>
      </c>
      <c r="J18" s="94">
        <f t="shared" si="6"/>
        <v>230.84800000000001</v>
      </c>
      <c r="K18" s="96">
        <f t="shared" si="7"/>
        <v>90</v>
      </c>
      <c r="L18" s="95">
        <f t="shared" si="8"/>
        <v>100</v>
      </c>
      <c r="M18" s="96">
        <f t="shared" si="9"/>
        <v>420.84800000000001</v>
      </c>
      <c r="N18" s="94">
        <f t="shared" si="10"/>
        <v>105.09452190476193</v>
      </c>
      <c r="O18" s="97">
        <f t="shared" si="11"/>
        <v>525.94252190476197</v>
      </c>
      <c r="P18" s="72">
        <v>3</v>
      </c>
      <c r="Q18" s="98">
        <f t="shared" si="12"/>
        <v>525.94252190476197</v>
      </c>
      <c r="R18" s="100"/>
    </row>
    <row r="19" spans="1:18" s="74" customFormat="1" ht="11.25" x14ac:dyDescent="0.2">
      <c r="A19" s="85">
        <v>400</v>
      </c>
      <c r="B19" s="86">
        <v>20</v>
      </c>
      <c r="C19" s="87">
        <f t="shared" si="0"/>
        <v>42</v>
      </c>
      <c r="D19" s="88">
        <f t="shared" si="1"/>
        <v>5.25</v>
      </c>
      <c r="E19" s="89">
        <v>4</v>
      </c>
      <c r="F19" s="90">
        <f t="shared" si="2"/>
        <v>9.25</v>
      </c>
      <c r="G19" s="91">
        <f t="shared" si="3"/>
        <v>1.0277777777777777</v>
      </c>
      <c r="H19" s="92">
        <f t="shared" si="4"/>
        <v>2</v>
      </c>
      <c r="I19" s="93">
        <f t="shared" si="5"/>
        <v>1.5</v>
      </c>
      <c r="J19" s="94">
        <f t="shared" si="6"/>
        <v>302.988</v>
      </c>
      <c r="K19" s="96">
        <f t="shared" si="7"/>
        <v>180</v>
      </c>
      <c r="L19" s="95">
        <f t="shared" si="8"/>
        <v>300</v>
      </c>
      <c r="M19" s="96">
        <f t="shared" si="9"/>
        <v>782.98800000000006</v>
      </c>
      <c r="N19" s="94">
        <f t="shared" si="10"/>
        <v>195.52843192118232</v>
      </c>
      <c r="O19" s="97">
        <f t="shared" si="11"/>
        <v>978.5164319211824</v>
      </c>
      <c r="P19" s="72">
        <v>4</v>
      </c>
      <c r="Q19" s="98">
        <f t="shared" si="12"/>
        <v>489.2582159605912</v>
      </c>
      <c r="R19" s="99"/>
    </row>
    <row r="20" spans="1:18" s="74" customFormat="1" ht="11.25" x14ac:dyDescent="0.2">
      <c r="A20" s="85">
        <v>500</v>
      </c>
      <c r="B20" s="86">
        <v>20</v>
      </c>
      <c r="C20" s="87">
        <f t="shared" si="0"/>
        <v>52</v>
      </c>
      <c r="D20" s="88">
        <f t="shared" si="1"/>
        <v>6.5</v>
      </c>
      <c r="E20" s="89">
        <v>4</v>
      </c>
      <c r="F20" s="90">
        <f t="shared" si="2"/>
        <v>10.5</v>
      </c>
      <c r="G20" s="91">
        <f t="shared" si="3"/>
        <v>1.1666666666666667</v>
      </c>
      <c r="H20" s="92">
        <f t="shared" si="4"/>
        <v>2</v>
      </c>
      <c r="I20" s="93">
        <f t="shared" si="5"/>
        <v>1.5</v>
      </c>
      <c r="J20" s="94">
        <f t="shared" si="6"/>
        <v>375.12800000000004</v>
      </c>
      <c r="K20" s="96">
        <f t="shared" si="7"/>
        <v>180</v>
      </c>
      <c r="L20" s="95">
        <f t="shared" si="8"/>
        <v>300</v>
      </c>
      <c r="M20" s="96">
        <f t="shared" si="9"/>
        <v>855.12800000000004</v>
      </c>
      <c r="N20" s="94">
        <f t="shared" si="10"/>
        <v>213.54329431855507</v>
      </c>
      <c r="O20" s="97">
        <f t="shared" si="11"/>
        <v>1068.6712943185551</v>
      </c>
      <c r="P20" s="72">
        <v>5</v>
      </c>
      <c r="Q20" s="98">
        <f t="shared" si="12"/>
        <v>534.33564715927753</v>
      </c>
      <c r="R20" s="99"/>
    </row>
    <row r="21" spans="1:18" s="74" customFormat="1" ht="11.25" x14ac:dyDescent="0.2">
      <c r="A21" s="85">
        <v>600</v>
      </c>
      <c r="B21" s="86">
        <v>20</v>
      </c>
      <c r="C21" s="87">
        <f t="shared" si="0"/>
        <v>62</v>
      </c>
      <c r="D21" s="88">
        <f t="shared" si="1"/>
        <v>7.75</v>
      </c>
      <c r="E21" s="89">
        <v>4</v>
      </c>
      <c r="F21" s="90">
        <f t="shared" si="2"/>
        <v>11.75</v>
      </c>
      <c r="G21" s="91">
        <f t="shared" si="3"/>
        <v>1.3055555555555556</v>
      </c>
      <c r="H21" s="92">
        <f t="shared" si="4"/>
        <v>2</v>
      </c>
      <c r="I21" s="93">
        <f t="shared" si="5"/>
        <v>1.5</v>
      </c>
      <c r="J21" s="94">
        <f t="shared" si="6"/>
        <v>447.26800000000003</v>
      </c>
      <c r="K21" s="96">
        <f t="shared" si="7"/>
        <v>180</v>
      </c>
      <c r="L21" s="95">
        <f t="shared" si="8"/>
        <v>300</v>
      </c>
      <c r="M21" s="96">
        <f t="shared" si="9"/>
        <v>927.26800000000003</v>
      </c>
      <c r="N21" s="94">
        <f t="shared" si="10"/>
        <v>231.55815671592782</v>
      </c>
      <c r="O21" s="97">
        <f t="shared" si="11"/>
        <v>1158.8261567159279</v>
      </c>
      <c r="P21" s="72">
        <v>6</v>
      </c>
      <c r="Q21" s="98">
        <f t="shared" si="12"/>
        <v>579.41307835796397</v>
      </c>
      <c r="R21" s="99"/>
    </row>
    <row r="22" spans="1:18" s="74" customFormat="1" ht="11.25" x14ac:dyDescent="0.2">
      <c r="A22" s="85">
        <v>700</v>
      </c>
      <c r="B22" s="86">
        <v>20</v>
      </c>
      <c r="C22" s="87">
        <f t="shared" si="0"/>
        <v>72</v>
      </c>
      <c r="D22" s="88">
        <f t="shared" si="1"/>
        <v>9</v>
      </c>
      <c r="E22" s="89">
        <v>4</v>
      </c>
      <c r="F22" s="90">
        <f t="shared" si="2"/>
        <v>13</v>
      </c>
      <c r="G22" s="91">
        <f t="shared" si="3"/>
        <v>1.4444444444444444</v>
      </c>
      <c r="H22" s="92">
        <f t="shared" si="4"/>
        <v>2</v>
      </c>
      <c r="I22" s="93">
        <f t="shared" si="5"/>
        <v>1.5</v>
      </c>
      <c r="J22" s="94">
        <f t="shared" si="6"/>
        <v>519.40800000000002</v>
      </c>
      <c r="K22" s="96">
        <f t="shared" si="7"/>
        <v>180</v>
      </c>
      <c r="L22" s="95">
        <f t="shared" si="8"/>
        <v>300</v>
      </c>
      <c r="M22" s="96">
        <f t="shared" si="9"/>
        <v>999.40800000000002</v>
      </c>
      <c r="N22" s="94">
        <f t="shared" si="10"/>
        <v>249.57301911330055</v>
      </c>
      <c r="O22" s="97">
        <f t="shared" si="11"/>
        <v>1248.9810191133006</v>
      </c>
      <c r="P22" s="72">
        <v>7</v>
      </c>
      <c r="Q22" s="98">
        <f t="shared" si="12"/>
        <v>624.4905095566503</v>
      </c>
      <c r="R22" s="99"/>
    </row>
    <row r="23" spans="1:18" s="74" customFormat="1" ht="11.25" x14ac:dyDescent="0.2">
      <c r="A23" s="85">
        <v>800</v>
      </c>
      <c r="B23" s="86">
        <v>20</v>
      </c>
      <c r="C23" s="87">
        <f t="shared" si="0"/>
        <v>82</v>
      </c>
      <c r="D23" s="88">
        <f t="shared" si="1"/>
        <v>10.25</v>
      </c>
      <c r="E23" s="89">
        <v>4</v>
      </c>
      <c r="F23" s="90">
        <f t="shared" si="2"/>
        <v>14.25</v>
      </c>
      <c r="G23" s="91">
        <f t="shared" si="3"/>
        <v>1.5833333333333333</v>
      </c>
      <c r="H23" s="92">
        <f t="shared" si="4"/>
        <v>2</v>
      </c>
      <c r="I23" s="93">
        <f t="shared" si="5"/>
        <v>1.5</v>
      </c>
      <c r="J23" s="94">
        <f t="shared" si="6"/>
        <v>591.548</v>
      </c>
      <c r="K23" s="96">
        <f t="shared" si="7"/>
        <v>180</v>
      </c>
      <c r="L23" s="95">
        <f t="shared" si="8"/>
        <v>300</v>
      </c>
      <c r="M23" s="96">
        <f t="shared" si="9"/>
        <v>1071.548</v>
      </c>
      <c r="N23" s="94">
        <f t="shared" si="10"/>
        <v>267.5878815106733</v>
      </c>
      <c r="O23" s="97">
        <f t="shared" si="11"/>
        <v>1339.1358815106732</v>
      </c>
      <c r="P23" s="72">
        <v>8</v>
      </c>
      <c r="Q23" s="98">
        <f t="shared" si="12"/>
        <v>669.56794075533662</v>
      </c>
      <c r="R23" s="99"/>
    </row>
    <row r="24" spans="1:18" s="74" customFormat="1" ht="11.25" x14ac:dyDescent="0.2">
      <c r="A24" s="85">
        <v>900</v>
      </c>
      <c r="B24" s="86">
        <v>20</v>
      </c>
      <c r="C24" s="87">
        <f t="shared" si="0"/>
        <v>92</v>
      </c>
      <c r="D24" s="88">
        <f t="shared" si="1"/>
        <v>11.5</v>
      </c>
      <c r="E24" s="89">
        <v>4</v>
      </c>
      <c r="F24" s="90">
        <f t="shared" si="2"/>
        <v>15.5</v>
      </c>
      <c r="G24" s="91">
        <f t="shared" si="3"/>
        <v>1.7222222222222223</v>
      </c>
      <c r="H24" s="92">
        <f t="shared" si="4"/>
        <v>2</v>
      </c>
      <c r="I24" s="93">
        <f t="shared" si="5"/>
        <v>1.5</v>
      </c>
      <c r="J24" s="94">
        <f t="shared" si="6"/>
        <v>663.68799999999999</v>
      </c>
      <c r="K24" s="96">
        <f t="shared" si="7"/>
        <v>180</v>
      </c>
      <c r="L24" s="95">
        <f t="shared" si="8"/>
        <v>300</v>
      </c>
      <c r="M24" s="96">
        <f t="shared" si="9"/>
        <v>1143.6880000000001</v>
      </c>
      <c r="N24" s="94">
        <f t="shared" si="10"/>
        <v>285.60274390804608</v>
      </c>
      <c r="O24" s="97">
        <f t="shared" si="11"/>
        <v>1429.2907439080461</v>
      </c>
      <c r="P24" s="72">
        <v>9</v>
      </c>
      <c r="Q24" s="98">
        <f t="shared" si="12"/>
        <v>714.64537195402306</v>
      </c>
      <c r="R24" s="99"/>
    </row>
    <row r="25" spans="1:18" s="74" customFormat="1" ht="11.25" x14ac:dyDescent="0.2">
      <c r="A25" s="85">
        <v>1000</v>
      </c>
      <c r="B25" s="86">
        <v>20</v>
      </c>
      <c r="C25" s="87">
        <f t="shared" si="0"/>
        <v>102</v>
      </c>
      <c r="D25" s="88">
        <f t="shared" si="1"/>
        <v>12.75</v>
      </c>
      <c r="E25" s="89">
        <v>4</v>
      </c>
      <c r="F25" s="90">
        <f t="shared" si="2"/>
        <v>16.75</v>
      </c>
      <c r="G25" s="91">
        <f t="shared" si="3"/>
        <v>1.8611111111111112</v>
      </c>
      <c r="H25" s="92">
        <f t="shared" si="4"/>
        <v>2</v>
      </c>
      <c r="I25" s="93">
        <f t="shared" si="5"/>
        <v>1.5</v>
      </c>
      <c r="J25" s="94">
        <f t="shared" si="6"/>
        <v>735.82800000000009</v>
      </c>
      <c r="K25" s="96">
        <f t="shared" si="7"/>
        <v>180</v>
      </c>
      <c r="L25" s="95">
        <f t="shared" si="8"/>
        <v>300</v>
      </c>
      <c r="M25" s="96">
        <f t="shared" si="9"/>
        <v>1215.828</v>
      </c>
      <c r="N25" s="94">
        <f t="shared" si="10"/>
        <v>303.6176063054188</v>
      </c>
      <c r="O25" s="97">
        <f t="shared" si="11"/>
        <v>1519.4456063054188</v>
      </c>
      <c r="P25" s="72">
        <v>10</v>
      </c>
      <c r="Q25" s="98">
        <f t="shared" si="12"/>
        <v>759.72280315270939</v>
      </c>
      <c r="R25" s="99"/>
    </row>
    <row r="26" spans="1:18" s="74" customFormat="1" ht="11.25" x14ac:dyDescent="0.2">
      <c r="A26" s="85">
        <v>1100</v>
      </c>
      <c r="B26" s="86">
        <v>20</v>
      </c>
      <c r="C26" s="87">
        <f t="shared" si="0"/>
        <v>112</v>
      </c>
      <c r="D26" s="88">
        <f t="shared" si="1"/>
        <v>14</v>
      </c>
      <c r="E26" s="89">
        <v>4</v>
      </c>
      <c r="F26" s="90">
        <f t="shared" si="2"/>
        <v>18</v>
      </c>
      <c r="G26" s="91">
        <f t="shared" si="3"/>
        <v>2</v>
      </c>
      <c r="H26" s="92">
        <f t="shared" si="4"/>
        <v>2</v>
      </c>
      <c r="I26" s="93">
        <f t="shared" si="5"/>
        <v>1.5</v>
      </c>
      <c r="J26" s="94">
        <f t="shared" si="6"/>
        <v>807.96800000000007</v>
      </c>
      <c r="K26" s="96">
        <f t="shared" si="7"/>
        <v>180</v>
      </c>
      <c r="L26" s="95">
        <f t="shared" si="8"/>
        <v>300</v>
      </c>
      <c r="M26" s="96">
        <f t="shared" si="9"/>
        <v>1287.9680000000001</v>
      </c>
      <c r="N26" s="94">
        <f t="shared" si="10"/>
        <v>321.63246870279158</v>
      </c>
      <c r="O26" s="97">
        <f t="shared" si="11"/>
        <v>1609.6004687027917</v>
      </c>
      <c r="P26" s="72">
        <v>11</v>
      </c>
      <c r="Q26" s="98">
        <f t="shared" si="12"/>
        <v>804.80023435139583</v>
      </c>
      <c r="R26" s="99"/>
    </row>
    <row r="27" spans="1:18" s="74" customFormat="1" ht="11.25" x14ac:dyDescent="0.2">
      <c r="A27" s="85">
        <v>1200</v>
      </c>
      <c r="B27" s="86">
        <v>20</v>
      </c>
      <c r="C27" s="87">
        <f t="shared" si="0"/>
        <v>122</v>
      </c>
      <c r="D27" s="88">
        <f t="shared" si="1"/>
        <v>15.25</v>
      </c>
      <c r="E27" s="89">
        <v>4</v>
      </c>
      <c r="F27" s="90">
        <f t="shared" si="2"/>
        <v>19.25</v>
      </c>
      <c r="G27" s="91">
        <f t="shared" si="3"/>
        <v>2.1388888888888888</v>
      </c>
      <c r="H27" s="92">
        <f t="shared" si="4"/>
        <v>3</v>
      </c>
      <c r="I27" s="93">
        <f t="shared" si="5"/>
        <v>2.5</v>
      </c>
      <c r="J27" s="94">
        <f t="shared" si="6"/>
        <v>880.10800000000006</v>
      </c>
      <c r="K27" s="96">
        <f t="shared" si="7"/>
        <v>270</v>
      </c>
      <c r="L27" s="95">
        <f t="shared" si="8"/>
        <v>500</v>
      </c>
      <c r="M27" s="96">
        <f t="shared" si="9"/>
        <v>1650.1080000000002</v>
      </c>
      <c r="N27" s="94">
        <f t="shared" si="10"/>
        <v>412.06637871921197</v>
      </c>
      <c r="O27" s="97">
        <f t="shared" si="11"/>
        <v>2062.1743787192122</v>
      </c>
      <c r="P27" s="72">
        <v>12</v>
      </c>
      <c r="Q27" s="98">
        <f t="shared" si="12"/>
        <v>687.39145957307073</v>
      </c>
      <c r="R27" s="99"/>
    </row>
    <row r="28" spans="1:18" s="74" customFormat="1" ht="11.25" x14ac:dyDescent="0.2">
      <c r="A28" s="85">
        <v>1300</v>
      </c>
      <c r="B28" s="86">
        <v>20</v>
      </c>
      <c r="C28" s="87">
        <f t="shared" si="0"/>
        <v>132</v>
      </c>
      <c r="D28" s="88">
        <f t="shared" si="1"/>
        <v>16.5</v>
      </c>
      <c r="E28" s="89">
        <v>4</v>
      </c>
      <c r="F28" s="90">
        <f t="shared" si="2"/>
        <v>20.5</v>
      </c>
      <c r="G28" s="91">
        <f t="shared" si="3"/>
        <v>2.2777777777777777</v>
      </c>
      <c r="H28" s="92">
        <f t="shared" si="4"/>
        <v>3</v>
      </c>
      <c r="I28" s="93">
        <f t="shared" si="5"/>
        <v>2.5</v>
      </c>
      <c r="J28" s="94">
        <f t="shared" si="6"/>
        <v>952.24800000000005</v>
      </c>
      <c r="K28" s="96">
        <f t="shared" si="7"/>
        <v>270</v>
      </c>
      <c r="L28" s="95">
        <f t="shared" si="8"/>
        <v>500</v>
      </c>
      <c r="M28" s="96">
        <f t="shared" si="9"/>
        <v>1722.248</v>
      </c>
      <c r="N28" s="94">
        <f t="shared" si="10"/>
        <v>430.08124111658469</v>
      </c>
      <c r="O28" s="97">
        <f t="shared" si="11"/>
        <v>2152.3292411165849</v>
      </c>
      <c r="P28" s="72">
        <v>13</v>
      </c>
      <c r="Q28" s="98">
        <f t="shared" si="12"/>
        <v>717.44308037219491</v>
      </c>
      <c r="R28" s="99"/>
    </row>
    <row r="29" spans="1:18" s="74" customFormat="1" ht="11.25" x14ac:dyDescent="0.2">
      <c r="A29" s="85">
        <v>1400</v>
      </c>
      <c r="B29" s="86">
        <v>20</v>
      </c>
      <c r="C29" s="87">
        <f t="shared" si="0"/>
        <v>142</v>
      </c>
      <c r="D29" s="88">
        <f t="shared" si="1"/>
        <v>17.75</v>
      </c>
      <c r="E29" s="89">
        <v>4</v>
      </c>
      <c r="F29" s="90">
        <f t="shared" si="2"/>
        <v>21.75</v>
      </c>
      <c r="G29" s="91">
        <f t="shared" si="3"/>
        <v>2.4166666666666665</v>
      </c>
      <c r="H29" s="92">
        <f t="shared" si="4"/>
        <v>3</v>
      </c>
      <c r="I29" s="93">
        <f t="shared" si="5"/>
        <v>2.5</v>
      </c>
      <c r="J29" s="94">
        <f t="shared" si="6"/>
        <v>1024.3880000000001</v>
      </c>
      <c r="K29" s="96">
        <f t="shared" si="7"/>
        <v>270</v>
      </c>
      <c r="L29" s="95">
        <f t="shared" si="8"/>
        <v>500</v>
      </c>
      <c r="M29" s="96">
        <f t="shared" si="9"/>
        <v>1794.3880000000001</v>
      </c>
      <c r="N29" s="94">
        <f t="shared" si="10"/>
        <v>448.09610351395747</v>
      </c>
      <c r="O29" s="97">
        <f t="shared" si="11"/>
        <v>2242.4841035139575</v>
      </c>
      <c r="P29" s="72">
        <v>14</v>
      </c>
      <c r="Q29" s="98">
        <f t="shared" si="12"/>
        <v>747.49470117131921</v>
      </c>
      <c r="R29" s="99"/>
    </row>
    <row r="30" spans="1:18" s="74" customFormat="1" ht="11.25" x14ac:dyDescent="0.2">
      <c r="A30" s="85">
        <v>1500</v>
      </c>
      <c r="B30" s="86">
        <v>20</v>
      </c>
      <c r="C30" s="87">
        <f t="shared" si="0"/>
        <v>152</v>
      </c>
      <c r="D30" s="88">
        <f t="shared" si="1"/>
        <v>19</v>
      </c>
      <c r="E30" s="89">
        <v>4</v>
      </c>
      <c r="F30" s="90">
        <f t="shared" si="2"/>
        <v>23</v>
      </c>
      <c r="G30" s="91">
        <f t="shared" si="3"/>
        <v>2.5555555555555554</v>
      </c>
      <c r="H30" s="92">
        <f t="shared" si="4"/>
        <v>3</v>
      </c>
      <c r="I30" s="93">
        <f t="shared" si="5"/>
        <v>2.5</v>
      </c>
      <c r="J30" s="94">
        <f t="shared" si="6"/>
        <v>1096.528</v>
      </c>
      <c r="K30" s="96">
        <f t="shared" si="7"/>
        <v>270</v>
      </c>
      <c r="L30" s="95">
        <f t="shared" si="8"/>
        <v>500</v>
      </c>
      <c r="M30" s="96">
        <f t="shared" si="9"/>
        <v>1866.528</v>
      </c>
      <c r="N30" s="94">
        <f t="shared" si="10"/>
        <v>466.11096591133014</v>
      </c>
      <c r="O30" s="97">
        <f t="shared" si="11"/>
        <v>2332.6389659113302</v>
      </c>
      <c r="P30" s="72">
        <v>15</v>
      </c>
      <c r="Q30" s="98">
        <f t="shared" si="12"/>
        <v>777.54632197044339</v>
      </c>
      <c r="R30" s="99"/>
    </row>
    <row r="31" spans="1:18" s="74" customFormat="1" ht="11.25" x14ac:dyDescent="0.2">
      <c r="A31" s="85">
        <v>1600</v>
      </c>
      <c r="B31" s="86">
        <v>20</v>
      </c>
      <c r="C31" s="87">
        <f t="shared" si="0"/>
        <v>162</v>
      </c>
      <c r="D31" s="88">
        <f t="shared" si="1"/>
        <v>20.25</v>
      </c>
      <c r="E31" s="89">
        <v>4</v>
      </c>
      <c r="F31" s="90">
        <f t="shared" si="2"/>
        <v>24.25</v>
      </c>
      <c r="G31" s="91">
        <f t="shared" si="3"/>
        <v>2.6944444444444446</v>
      </c>
      <c r="H31" s="92">
        <f t="shared" si="4"/>
        <v>3</v>
      </c>
      <c r="I31" s="93">
        <f t="shared" si="5"/>
        <v>2.5</v>
      </c>
      <c r="J31" s="94">
        <f t="shared" si="6"/>
        <v>1168.6680000000001</v>
      </c>
      <c r="K31" s="96">
        <f t="shared" si="7"/>
        <v>270</v>
      </c>
      <c r="L31" s="95">
        <f t="shared" si="8"/>
        <v>500</v>
      </c>
      <c r="M31" s="96">
        <f t="shared" si="9"/>
        <v>1938.6680000000001</v>
      </c>
      <c r="N31" s="94">
        <f t="shared" si="10"/>
        <v>484.12582830870292</v>
      </c>
      <c r="O31" s="97">
        <f t="shared" si="11"/>
        <v>2422.7938283087033</v>
      </c>
      <c r="P31" s="72">
        <v>16</v>
      </c>
      <c r="Q31" s="98">
        <f t="shared" si="12"/>
        <v>807.59794276956779</v>
      </c>
      <c r="R31" s="99"/>
    </row>
    <row r="32" spans="1:18" s="74" customFormat="1" ht="11.25" x14ac:dyDescent="0.2">
      <c r="A32" s="85">
        <v>1700</v>
      </c>
      <c r="B32" s="86">
        <v>20</v>
      </c>
      <c r="C32" s="87">
        <f t="shared" si="0"/>
        <v>172</v>
      </c>
      <c r="D32" s="88">
        <f t="shared" si="1"/>
        <v>21.5</v>
      </c>
      <c r="E32" s="89">
        <v>4</v>
      </c>
      <c r="F32" s="90">
        <f t="shared" si="2"/>
        <v>25.5</v>
      </c>
      <c r="G32" s="91">
        <f t="shared" si="3"/>
        <v>2.8333333333333335</v>
      </c>
      <c r="H32" s="92">
        <f t="shared" si="4"/>
        <v>3</v>
      </c>
      <c r="I32" s="93">
        <f t="shared" si="5"/>
        <v>2.5</v>
      </c>
      <c r="J32" s="94">
        <f t="shared" si="6"/>
        <v>1240.808</v>
      </c>
      <c r="K32" s="96">
        <f t="shared" si="7"/>
        <v>270</v>
      </c>
      <c r="L32" s="95">
        <f t="shared" si="8"/>
        <v>500</v>
      </c>
      <c r="M32" s="96">
        <f t="shared" si="9"/>
        <v>2010.808</v>
      </c>
      <c r="N32" s="94">
        <f t="shared" si="10"/>
        <v>502.14069070607565</v>
      </c>
      <c r="O32" s="97">
        <f t="shared" si="11"/>
        <v>2512.9486907060755</v>
      </c>
      <c r="P32" s="72">
        <v>17</v>
      </c>
      <c r="Q32" s="98">
        <f t="shared" si="12"/>
        <v>837.64956356869186</v>
      </c>
      <c r="R32" s="99"/>
    </row>
    <row r="33" spans="1:18" s="74" customFormat="1" ht="11.25" x14ac:dyDescent="0.2">
      <c r="A33" s="85">
        <v>1800</v>
      </c>
      <c r="B33" s="86">
        <v>20</v>
      </c>
      <c r="C33" s="87">
        <f t="shared" si="0"/>
        <v>182</v>
      </c>
      <c r="D33" s="88">
        <f t="shared" si="1"/>
        <v>22.75</v>
      </c>
      <c r="E33" s="89">
        <v>4</v>
      </c>
      <c r="F33" s="90">
        <f t="shared" si="2"/>
        <v>26.75</v>
      </c>
      <c r="G33" s="91">
        <f t="shared" si="3"/>
        <v>2.9722222222222223</v>
      </c>
      <c r="H33" s="92">
        <f t="shared" si="4"/>
        <v>3</v>
      </c>
      <c r="I33" s="93">
        <f t="shared" si="5"/>
        <v>2.5</v>
      </c>
      <c r="J33" s="94">
        <f t="shared" si="6"/>
        <v>1312.9480000000001</v>
      </c>
      <c r="K33" s="96">
        <f t="shared" si="7"/>
        <v>270</v>
      </c>
      <c r="L33" s="95">
        <f t="shared" si="8"/>
        <v>500</v>
      </c>
      <c r="M33" s="96">
        <f t="shared" si="9"/>
        <v>2082.9480000000003</v>
      </c>
      <c r="N33" s="94">
        <f t="shared" si="10"/>
        <v>520.15555310344848</v>
      </c>
      <c r="O33" s="97">
        <f t="shared" si="11"/>
        <v>2603.1035531034486</v>
      </c>
      <c r="P33" s="72">
        <v>18</v>
      </c>
      <c r="Q33" s="98">
        <f t="shared" si="12"/>
        <v>867.70118436781615</v>
      </c>
      <c r="R33" s="99"/>
    </row>
    <row r="34" spans="1:18" s="74" customFormat="1" ht="11.25" x14ac:dyDescent="0.2">
      <c r="A34" s="85">
        <v>1900</v>
      </c>
      <c r="B34" s="86">
        <v>20</v>
      </c>
      <c r="C34" s="87">
        <f t="shared" si="0"/>
        <v>192</v>
      </c>
      <c r="D34" s="88">
        <f t="shared" si="1"/>
        <v>24</v>
      </c>
      <c r="E34" s="89">
        <v>4</v>
      </c>
      <c r="F34" s="90">
        <f t="shared" si="2"/>
        <v>28</v>
      </c>
      <c r="G34" s="91">
        <f t="shared" si="3"/>
        <v>3.1111111111111112</v>
      </c>
      <c r="H34" s="92">
        <f t="shared" si="4"/>
        <v>4</v>
      </c>
      <c r="I34" s="93">
        <f t="shared" si="5"/>
        <v>3.5</v>
      </c>
      <c r="J34" s="94">
        <f t="shared" si="6"/>
        <v>1385.0880000000002</v>
      </c>
      <c r="K34" s="96">
        <f t="shared" si="7"/>
        <v>360</v>
      </c>
      <c r="L34" s="95">
        <f t="shared" si="8"/>
        <v>700</v>
      </c>
      <c r="M34" s="96">
        <f t="shared" si="9"/>
        <v>2445.0880000000002</v>
      </c>
      <c r="N34" s="94">
        <f t="shared" si="10"/>
        <v>610.58946311986881</v>
      </c>
      <c r="O34" s="97">
        <f t="shared" si="11"/>
        <v>3055.6774631198691</v>
      </c>
      <c r="P34" s="72">
        <v>19</v>
      </c>
      <c r="Q34" s="98">
        <f t="shared" si="12"/>
        <v>763.91936577996728</v>
      </c>
      <c r="R34" s="99"/>
    </row>
    <row r="35" spans="1:18" s="74" customFormat="1" ht="11.25" x14ac:dyDescent="0.2">
      <c r="A35" s="85">
        <v>2000</v>
      </c>
      <c r="B35" s="86">
        <v>20</v>
      </c>
      <c r="C35" s="87">
        <f t="shared" si="0"/>
        <v>202</v>
      </c>
      <c r="D35" s="88">
        <f t="shared" si="1"/>
        <v>25.25</v>
      </c>
      <c r="E35" s="89">
        <v>4</v>
      </c>
      <c r="F35" s="90">
        <f t="shared" si="2"/>
        <v>29.25</v>
      </c>
      <c r="G35" s="91">
        <f t="shared" si="3"/>
        <v>3.25</v>
      </c>
      <c r="H35" s="92">
        <f t="shared" si="4"/>
        <v>4</v>
      </c>
      <c r="I35" s="93">
        <f t="shared" si="5"/>
        <v>3.5</v>
      </c>
      <c r="J35" s="94">
        <f t="shared" si="6"/>
        <v>1457.2280000000001</v>
      </c>
      <c r="K35" s="96">
        <f t="shared" si="7"/>
        <v>360</v>
      </c>
      <c r="L35" s="95">
        <f t="shared" si="8"/>
        <v>700</v>
      </c>
      <c r="M35" s="96">
        <f t="shared" si="9"/>
        <v>2517.2280000000001</v>
      </c>
      <c r="N35" s="94">
        <f t="shared" si="10"/>
        <v>628.60432551724159</v>
      </c>
      <c r="O35" s="97">
        <f t="shared" si="11"/>
        <v>3145.8323255172418</v>
      </c>
      <c r="P35" s="72">
        <v>20</v>
      </c>
      <c r="Q35" s="98">
        <f t="shared" si="12"/>
        <v>786.45808137931044</v>
      </c>
      <c r="R35" s="99"/>
    </row>
    <row r="36" spans="1:18" s="74" customFormat="1" ht="11.25" x14ac:dyDescent="0.2">
      <c r="A36" s="85">
        <v>2100</v>
      </c>
      <c r="B36" s="86">
        <v>20</v>
      </c>
      <c r="C36" s="87">
        <f t="shared" si="0"/>
        <v>212</v>
      </c>
      <c r="D36" s="88">
        <f t="shared" si="1"/>
        <v>26.5</v>
      </c>
      <c r="E36" s="89">
        <v>4</v>
      </c>
      <c r="F36" s="90">
        <f t="shared" si="2"/>
        <v>30.5</v>
      </c>
      <c r="G36" s="91">
        <f t="shared" si="3"/>
        <v>3.3888888888888888</v>
      </c>
      <c r="H36" s="92">
        <f t="shared" si="4"/>
        <v>4</v>
      </c>
      <c r="I36" s="93">
        <f t="shared" si="5"/>
        <v>3.5</v>
      </c>
      <c r="J36" s="94">
        <f t="shared" si="6"/>
        <v>1529.3680000000002</v>
      </c>
      <c r="K36" s="96">
        <f t="shared" si="7"/>
        <v>360</v>
      </c>
      <c r="L36" s="95">
        <f t="shared" si="8"/>
        <v>700</v>
      </c>
      <c r="M36" s="96">
        <f t="shared" si="9"/>
        <v>2589.3680000000004</v>
      </c>
      <c r="N36" s="94">
        <f t="shared" si="10"/>
        <v>646.61918791461437</v>
      </c>
      <c r="O36" s="97">
        <f t="shared" si="11"/>
        <v>3235.9871879146149</v>
      </c>
      <c r="P36" s="72">
        <v>21</v>
      </c>
      <c r="Q36" s="98">
        <f t="shared" si="12"/>
        <v>808.99679697865372</v>
      </c>
      <c r="R36" s="99"/>
    </row>
    <row r="37" spans="1:18" s="74" customFormat="1" ht="11.25" x14ac:dyDescent="0.2">
      <c r="A37" s="101">
        <v>2200</v>
      </c>
      <c r="B37" s="102">
        <v>20</v>
      </c>
      <c r="C37" s="103">
        <f t="shared" si="0"/>
        <v>222</v>
      </c>
      <c r="D37" s="104">
        <f t="shared" si="1"/>
        <v>27.75</v>
      </c>
      <c r="E37" s="89">
        <v>4</v>
      </c>
      <c r="F37" s="105">
        <f t="shared" si="2"/>
        <v>31.75</v>
      </c>
      <c r="G37" s="106">
        <f t="shared" si="3"/>
        <v>3.5277777777777777</v>
      </c>
      <c r="H37" s="107">
        <f t="shared" si="4"/>
        <v>4</v>
      </c>
      <c r="I37" s="108">
        <f t="shared" si="5"/>
        <v>3.5</v>
      </c>
      <c r="J37" s="109">
        <f t="shared" si="6"/>
        <v>1601.508</v>
      </c>
      <c r="K37" s="110">
        <f t="shared" si="7"/>
        <v>360</v>
      </c>
      <c r="L37" s="111">
        <f t="shared" si="8"/>
        <v>700</v>
      </c>
      <c r="M37" s="110">
        <f t="shared" si="9"/>
        <v>2661.5079999999998</v>
      </c>
      <c r="N37" s="94">
        <f t="shared" si="10"/>
        <v>664.63405031198693</v>
      </c>
      <c r="O37" s="112">
        <f t="shared" si="11"/>
        <v>3326.1420503119866</v>
      </c>
      <c r="P37" s="72">
        <v>22</v>
      </c>
      <c r="Q37" s="98">
        <f t="shared" si="12"/>
        <v>831.53551257799666</v>
      </c>
      <c r="R37" s="99"/>
    </row>
    <row r="38" spans="1:18" s="113" customFormat="1" ht="11.25" x14ac:dyDescent="0.2">
      <c r="D38" s="114"/>
      <c r="E38" s="115"/>
      <c r="F38" s="116"/>
      <c r="G38" s="117"/>
      <c r="H38" s="117"/>
      <c r="I38" s="117"/>
      <c r="J38" s="117"/>
      <c r="N38" s="74"/>
      <c r="O38" s="118"/>
      <c r="P38" s="119"/>
      <c r="Q38" s="120">
        <f>SUM(Q16:Q37)</f>
        <v>15117.330790279149</v>
      </c>
    </row>
    <row r="39" spans="1:18" x14ac:dyDescent="0.2">
      <c r="O39" s="121"/>
      <c r="Q39" s="120">
        <f>Q38/22</f>
        <v>687.15139955814311</v>
      </c>
    </row>
    <row r="44" spans="1:18" s="42" customFormat="1" ht="11.25" x14ac:dyDescent="0.2"/>
    <row r="45" spans="1:18" s="42" customFormat="1" ht="11.25" x14ac:dyDescent="0.2"/>
    <row r="46" spans="1:18" s="42" customFormat="1" ht="11.25" x14ac:dyDescent="0.2"/>
    <row r="47" spans="1:18" s="42" customFormat="1" ht="11.25" x14ac:dyDescent="0.2"/>
    <row r="48" spans="1:18" s="42" customFormat="1" ht="11.25" x14ac:dyDescent="0.2"/>
    <row r="49" s="42" customFormat="1" ht="11.25" x14ac:dyDescent="0.2"/>
    <row r="51" s="42" customFormat="1" ht="11.25" x14ac:dyDescent="0.2"/>
  </sheetData>
  <mergeCells count="10">
    <mergeCell ref="A7:E7"/>
    <mergeCell ref="A8:E8"/>
    <mergeCell ref="A9:E9"/>
    <mergeCell ref="A10:E10"/>
    <mergeCell ref="A11:E11"/>
    <mergeCell ref="A1:O1"/>
    <mergeCell ref="A2:O2"/>
    <mergeCell ref="A4:F4"/>
    <mergeCell ref="A5:E5"/>
    <mergeCell ref="A6:E6"/>
  </mergeCells>
  <pageMargins left="0.78749999999999998" right="0.78749999999999998" top="0.98402777777777795" bottom="0.98402777777777795" header="0.51180555555555496" footer="0.51180555555555496"/>
  <pageSetup paperSize="9" scale="79" firstPageNumber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60"/>
  <sheetViews>
    <sheetView view="pageBreakPreview" topLeftCell="A13" zoomScaleNormal="100" workbookViewId="0">
      <selection activeCell="E18" sqref="E18:E46"/>
    </sheetView>
  </sheetViews>
  <sheetFormatPr defaultColWidth="9.33203125" defaultRowHeight="12.75" x14ac:dyDescent="0.2"/>
  <cols>
    <col min="1" max="1" width="18.33203125" style="42" customWidth="1"/>
    <col min="2" max="2" width="10.83203125" style="42" customWidth="1"/>
    <col min="3" max="3" width="11.1640625" style="42" customWidth="1"/>
    <col min="4" max="4" width="10.1640625" style="43" customWidth="1"/>
    <col min="5" max="5" width="10.33203125" style="44" customWidth="1"/>
    <col min="6" max="6" width="11.83203125" style="45" customWidth="1"/>
    <col min="7" max="7" width="12" style="46" customWidth="1"/>
    <col min="8" max="8" width="10.33203125" style="46" customWidth="1"/>
    <col min="9" max="9" width="11.33203125" style="46" customWidth="1"/>
    <col min="10" max="10" width="11.5" style="46" customWidth="1"/>
    <col min="11" max="11" width="10.5" style="42" customWidth="1"/>
    <col min="12" max="12" width="10.83203125" style="42" customWidth="1"/>
    <col min="13" max="13" width="12.33203125" style="42" customWidth="1"/>
    <col min="14" max="14" width="10.83203125" style="47" customWidth="1"/>
    <col min="15" max="15" width="14.1640625" style="48" customWidth="1"/>
    <col min="16" max="16" width="6.1640625" style="49" customWidth="1"/>
    <col min="17" max="17" width="21.5" style="50" customWidth="1"/>
    <col min="18" max="1024" width="9.33203125" style="42"/>
  </cols>
  <sheetData>
    <row r="1" spans="1:17" x14ac:dyDescent="0.2">
      <c r="A1" s="216" t="s">
        <v>122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51"/>
      <c r="Q1" s="52"/>
    </row>
    <row r="2" spans="1:17" x14ac:dyDescent="0.2">
      <c r="A2" s="217" t="s">
        <v>155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51"/>
      <c r="Q2" s="52"/>
    </row>
    <row r="3" spans="1:17" x14ac:dyDescent="0.2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7" s="55" customFormat="1" ht="11.25" x14ac:dyDescent="0.2">
      <c r="A4" s="218" t="s">
        <v>124</v>
      </c>
      <c r="B4" s="218"/>
      <c r="C4" s="218"/>
      <c r="D4" s="218"/>
      <c r="E4" s="218"/>
      <c r="F4" s="218"/>
      <c r="G4" s="54"/>
      <c r="H4" s="54"/>
      <c r="I4" s="54"/>
      <c r="J4" s="54"/>
      <c r="N4" s="47"/>
      <c r="O4" s="47"/>
      <c r="P4" s="56"/>
      <c r="Q4" s="57"/>
    </row>
    <row r="5" spans="1:17" x14ac:dyDescent="0.2">
      <c r="A5" s="219" t="s">
        <v>125</v>
      </c>
      <c r="B5" s="219"/>
      <c r="C5" s="219"/>
      <c r="D5" s="219"/>
      <c r="E5" s="219"/>
      <c r="F5" s="58">
        <v>80</v>
      </c>
    </row>
    <row r="6" spans="1:17" x14ac:dyDescent="0.2">
      <c r="A6" s="219" t="s">
        <v>126</v>
      </c>
      <c r="B6" s="219"/>
      <c r="C6" s="219"/>
      <c r="D6" s="219"/>
      <c r="E6" s="219"/>
      <c r="F6" s="58">
        <v>4</v>
      </c>
    </row>
    <row r="7" spans="1:17" x14ac:dyDescent="0.2">
      <c r="A7" s="219" t="s">
        <v>127</v>
      </c>
      <c r="B7" s="219"/>
      <c r="C7" s="219"/>
      <c r="D7" s="219"/>
      <c r="E7" s="219"/>
      <c r="F7" s="58">
        <v>90</v>
      </c>
    </row>
    <row r="8" spans="1:17" x14ac:dyDescent="0.2">
      <c r="A8" s="219" t="s">
        <v>128</v>
      </c>
      <c r="B8" s="219"/>
      <c r="C8" s="219"/>
      <c r="D8" s="219"/>
      <c r="E8" s="219"/>
      <c r="F8" s="59" t="s">
        <v>129</v>
      </c>
    </row>
    <row r="9" spans="1:17" x14ac:dyDescent="0.2">
      <c r="A9" s="219" t="s">
        <v>130</v>
      </c>
      <c r="B9" s="219"/>
      <c r="C9" s="219"/>
      <c r="D9" s="219"/>
      <c r="E9" s="219"/>
      <c r="F9" s="60">
        <v>7.2140000000000004</v>
      </c>
    </row>
    <row r="10" spans="1:17" x14ac:dyDescent="0.2">
      <c r="A10" s="219" t="s">
        <v>131</v>
      </c>
      <c r="B10" s="219"/>
      <c r="C10" s="219"/>
      <c r="D10" s="219"/>
      <c r="E10" s="219"/>
      <c r="F10" s="58">
        <v>10</v>
      </c>
    </row>
    <row r="11" spans="1:17" x14ac:dyDescent="0.2">
      <c r="A11" s="219" t="s">
        <v>132</v>
      </c>
      <c r="B11" s="219"/>
      <c r="C11" s="219"/>
      <c r="D11" s="219"/>
      <c r="E11" s="219"/>
      <c r="F11" s="61">
        <v>200</v>
      </c>
    </row>
    <row r="13" spans="1:17" x14ac:dyDescent="0.2">
      <c r="A13" s="63"/>
      <c r="B13" s="63"/>
      <c r="C13" s="63"/>
    </row>
    <row r="14" spans="1:17" x14ac:dyDescent="0.2">
      <c r="A14" s="63"/>
      <c r="B14" s="63"/>
      <c r="C14" s="63"/>
    </row>
    <row r="15" spans="1:17" s="74" customFormat="1" ht="90" x14ac:dyDescent="0.2">
      <c r="A15" s="64" t="s">
        <v>133</v>
      </c>
      <c r="B15" s="122" t="s">
        <v>156</v>
      </c>
      <c r="C15" s="65" t="s">
        <v>135</v>
      </c>
      <c r="D15" s="66" t="s">
        <v>136</v>
      </c>
      <c r="E15" s="123" t="s">
        <v>157</v>
      </c>
      <c r="F15" s="68" t="s">
        <v>138</v>
      </c>
      <c r="G15" s="69" t="s">
        <v>139</v>
      </c>
      <c r="H15" s="69" t="s">
        <v>140</v>
      </c>
      <c r="I15" s="69" t="s">
        <v>141</v>
      </c>
      <c r="J15" s="65" t="s">
        <v>142</v>
      </c>
      <c r="K15" s="65" t="s">
        <v>143</v>
      </c>
      <c r="L15" s="65" t="s">
        <v>144</v>
      </c>
      <c r="M15" s="65" t="s">
        <v>145</v>
      </c>
      <c r="N15" s="70" t="s">
        <v>146</v>
      </c>
      <c r="O15" s="71" t="s">
        <v>147</v>
      </c>
      <c r="P15" s="72"/>
      <c r="Q15" s="73" t="s">
        <v>148</v>
      </c>
    </row>
    <row r="16" spans="1:17" s="84" customFormat="1" ht="11.25" x14ac:dyDescent="0.2">
      <c r="A16" s="75" t="s">
        <v>149</v>
      </c>
      <c r="B16" s="76" t="s">
        <v>149</v>
      </c>
      <c r="C16" s="76" t="s">
        <v>150</v>
      </c>
      <c r="D16" s="77" t="s">
        <v>151</v>
      </c>
      <c r="E16" s="78" t="s">
        <v>151</v>
      </c>
      <c r="F16" s="79" t="s">
        <v>151</v>
      </c>
      <c r="G16" s="77" t="s">
        <v>152</v>
      </c>
      <c r="H16" s="77" t="s">
        <v>153</v>
      </c>
      <c r="I16" s="76" t="s">
        <v>153</v>
      </c>
      <c r="J16" s="76" t="s">
        <v>154</v>
      </c>
      <c r="K16" s="76" t="s">
        <v>154</v>
      </c>
      <c r="L16" s="76" t="s">
        <v>154</v>
      </c>
      <c r="M16" s="76" t="s">
        <v>154</v>
      </c>
      <c r="N16" s="80">
        <f>engeletr.arq!C128</f>
        <v>0.24972085385878495</v>
      </c>
      <c r="O16" s="81" t="s">
        <v>154</v>
      </c>
      <c r="P16" s="82"/>
      <c r="Q16" s="83"/>
    </row>
    <row r="17" spans="1:18" s="84" customFormat="1" ht="11.25" x14ac:dyDescent="0.2">
      <c r="A17" s="85">
        <v>100</v>
      </c>
      <c r="B17" s="86">
        <v>40</v>
      </c>
      <c r="C17" s="87">
        <f t="shared" ref="C17:C46" si="0">((A17+B17)/10)</f>
        <v>14</v>
      </c>
      <c r="D17" s="88">
        <f t="shared" ref="D17:D46" si="1">((A17+B17)/80)</f>
        <v>1.75</v>
      </c>
      <c r="E17" s="89">
        <v>8</v>
      </c>
      <c r="F17" s="90">
        <f t="shared" ref="F17:F46" si="2">D17+E17</f>
        <v>9.75</v>
      </c>
      <c r="G17" s="91">
        <f t="shared" ref="G17:G46" si="3">F17/9</f>
        <v>1.0833333333333333</v>
      </c>
      <c r="H17" s="124">
        <f t="shared" ref="H17:H46" si="4">ROUNDUP(G17,0)</f>
        <v>2</v>
      </c>
      <c r="I17" s="93">
        <f t="shared" ref="I17:I46" si="5">H17-0.5</f>
        <v>1.5</v>
      </c>
      <c r="J17" s="94">
        <f t="shared" ref="J17:J46" si="6">C17*$F$9</f>
        <v>100.99600000000001</v>
      </c>
      <c r="K17" s="95">
        <f t="shared" ref="K17:K46" si="7">H17*$F$7</f>
        <v>180</v>
      </c>
      <c r="L17" s="95">
        <f t="shared" ref="L17:L46" si="8">(I17*$F$11)*1</f>
        <v>300</v>
      </c>
      <c r="M17" s="96">
        <f t="shared" ref="M17:M46" si="9">J17+K17+L17</f>
        <v>580.99599999999998</v>
      </c>
      <c r="N17" s="94">
        <f t="shared" ref="N17:N46" si="10">M17*$N$16</f>
        <v>145.0868172085386</v>
      </c>
      <c r="O17" s="97">
        <f t="shared" ref="O17:O46" si="11">M17+N17</f>
        <v>726.08281720853859</v>
      </c>
      <c r="P17" s="72">
        <v>1</v>
      </c>
      <c r="Q17" s="98">
        <f t="shared" ref="Q17:Q46" si="12">O17/H17</f>
        <v>363.04140860426929</v>
      </c>
      <c r="R17" s="99"/>
    </row>
    <row r="18" spans="1:18" s="84" customFormat="1" ht="11.25" x14ac:dyDescent="0.2">
      <c r="A18" s="85">
        <v>200</v>
      </c>
      <c r="B18" s="86">
        <v>40</v>
      </c>
      <c r="C18" s="87">
        <f t="shared" si="0"/>
        <v>24</v>
      </c>
      <c r="D18" s="88">
        <f t="shared" si="1"/>
        <v>3</v>
      </c>
      <c r="E18" s="89">
        <v>8</v>
      </c>
      <c r="F18" s="90">
        <f t="shared" si="2"/>
        <v>11</v>
      </c>
      <c r="G18" s="91">
        <f t="shared" si="3"/>
        <v>1.2222222222222223</v>
      </c>
      <c r="H18" s="124">
        <f t="shared" si="4"/>
        <v>2</v>
      </c>
      <c r="I18" s="93">
        <f t="shared" si="5"/>
        <v>1.5</v>
      </c>
      <c r="J18" s="94">
        <f t="shared" si="6"/>
        <v>173.13600000000002</v>
      </c>
      <c r="K18" s="95">
        <f t="shared" si="7"/>
        <v>180</v>
      </c>
      <c r="L18" s="95">
        <f t="shared" si="8"/>
        <v>300</v>
      </c>
      <c r="M18" s="96">
        <f t="shared" si="9"/>
        <v>653.13599999999997</v>
      </c>
      <c r="N18" s="94">
        <f t="shared" si="10"/>
        <v>163.10167960591136</v>
      </c>
      <c r="O18" s="97">
        <f t="shared" si="11"/>
        <v>816.23767960591135</v>
      </c>
      <c r="P18" s="72">
        <v>2</v>
      </c>
      <c r="Q18" s="98">
        <f t="shared" si="12"/>
        <v>408.11883980295568</v>
      </c>
      <c r="R18" s="99"/>
    </row>
    <row r="19" spans="1:18" s="74" customFormat="1" ht="11.25" x14ac:dyDescent="0.2">
      <c r="A19" s="85">
        <v>300</v>
      </c>
      <c r="B19" s="86">
        <v>40</v>
      </c>
      <c r="C19" s="87">
        <f t="shared" si="0"/>
        <v>34</v>
      </c>
      <c r="D19" s="88">
        <f t="shared" si="1"/>
        <v>4.25</v>
      </c>
      <c r="E19" s="89">
        <v>8</v>
      </c>
      <c r="F19" s="90">
        <f t="shared" si="2"/>
        <v>12.25</v>
      </c>
      <c r="G19" s="91">
        <f t="shared" si="3"/>
        <v>1.3611111111111112</v>
      </c>
      <c r="H19" s="124">
        <f t="shared" si="4"/>
        <v>2</v>
      </c>
      <c r="I19" s="93">
        <f t="shared" si="5"/>
        <v>1.5</v>
      </c>
      <c r="J19" s="94">
        <f t="shared" si="6"/>
        <v>245.27600000000001</v>
      </c>
      <c r="K19" s="96">
        <f t="shared" si="7"/>
        <v>180</v>
      </c>
      <c r="L19" s="95">
        <f t="shared" si="8"/>
        <v>300</v>
      </c>
      <c r="M19" s="96">
        <f t="shared" si="9"/>
        <v>725.27600000000007</v>
      </c>
      <c r="N19" s="94">
        <f t="shared" si="10"/>
        <v>181.11654200328414</v>
      </c>
      <c r="O19" s="97">
        <f t="shared" si="11"/>
        <v>906.39254200328423</v>
      </c>
      <c r="P19" s="72">
        <v>3</v>
      </c>
      <c r="Q19" s="98">
        <f t="shared" si="12"/>
        <v>453.19627100164212</v>
      </c>
      <c r="R19" s="100"/>
    </row>
    <row r="20" spans="1:18" s="74" customFormat="1" ht="11.25" x14ac:dyDescent="0.2">
      <c r="A20" s="85">
        <v>400</v>
      </c>
      <c r="B20" s="86">
        <v>40</v>
      </c>
      <c r="C20" s="87">
        <f t="shared" si="0"/>
        <v>44</v>
      </c>
      <c r="D20" s="88">
        <f t="shared" si="1"/>
        <v>5.5</v>
      </c>
      <c r="E20" s="89">
        <v>8</v>
      </c>
      <c r="F20" s="90">
        <f t="shared" si="2"/>
        <v>13.5</v>
      </c>
      <c r="G20" s="91">
        <f t="shared" si="3"/>
        <v>1.5</v>
      </c>
      <c r="H20" s="124">
        <f t="shared" si="4"/>
        <v>2</v>
      </c>
      <c r="I20" s="93">
        <f t="shared" si="5"/>
        <v>1.5</v>
      </c>
      <c r="J20" s="94">
        <f t="shared" si="6"/>
        <v>317.416</v>
      </c>
      <c r="K20" s="96">
        <f t="shared" si="7"/>
        <v>180</v>
      </c>
      <c r="L20" s="95">
        <f t="shared" si="8"/>
        <v>300</v>
      </c>
      <c r="M20" s="96">
        <f t="shared" si="9"/>
        <v>797.41599999999994</v>
      </c>
      <c r="N20" s="94">
        <f t="shared" si="10"/>
        <v>199.13140440065683</v>
      </c>
      <c r="O20" s="97">
        <f t="shared" si="11"/>
        <v>996.54740440065677</v>
      </c>
      <c r="P20" s="72">
        <v>4</v>
      </c>
      <c r="Q20" s="98">
        <f t="shared" si="12"/>
        <v>498.27370220032839</v>
      </c>
      <c r="R20" s="99"/>
    </row>
    <row r="21" spans="1:18" s="74" customFormat="1" ht="11.25" x14ac:dyDescent="0.2">
      <c r="A21" s="85">
        <v>500</v>
      </c>
      <c r="B21" s="86">
        <v>40</v>
      </c>
      <c r="C21" s="87">
        <f t="shared" si="0"/>
        <v>54</v>
      </c>
      <c r="D21" s="88">
        <f t="shared" si="1"/>
        <v>6.75</v>
      </c>
      <c r="E21" s="89">
        <v>8</v>
      </c>
      <c r="F21" s="90">
        <f t="shared" si="2"/>
        <v>14.75</v>
      </c>
      <c r="G21" s="91">
        <f t="shared" si="3"/>
        <v>1.6388888888888888</v>
      </c>
      <c r="H21" s="124">
        <f t="shared" si="4"/>
        <v>2</v>
      </c>
      <c r="I21" s="93">
        <f t="shared" si="5"/>
        <v>1.5</v>
      </c>
      <c r="J21" s="94">
        <f t="shared" si="6"/>
        <v>389.55600000000004</v>
      </c>
      <c r="K21" s="96">
        <f t="shared" si="7"/>
        <v>180</v>
      </c>
      <c r="L21" s="95">
        <f t="shared" si="8"/>
        <v>300</v>
      </c>
      <c r="M21" s="96">
        <f t="shared" si="9"/>
        <v>869.55600000000004</v>
      </c>
      <c r="N21" s="94">
        <f t="shared" si="10"/>
        <v>217.14626679802961</v>
      </c>
      <c r="O21" s="97">
        <f t="shared" si="11"/>
        <v>1086.7022667980295</v>
      </c>
      <c r="P21" s="72">
        <v>5</v>
      </c>
      <c r="Q21" s="98">
        <f t="shared" si="12"/>
        <v>543.35113339901477</v>
      </c>
      <c r="R21" s="99"/>
    </row>
    <row r="22" spans="1:18" s="74" customFormat="1" ht="11.25" x14ac:dyDescent="0.2">
      <c r="A22" s="85">
        <v>600</v>
      </c>
      <c r="B22" s="86">
        <v>40</v>
      </c>
      <c r="C22" s="87">
        <f t="shared" si="0"/>
        <v>64</v>
      </c>
      <c r="D22" s="88">
        <f t="shared" si="1"/>
        <v>8</v>
      </c>
      <c r="E22" s="89">
        <v>8</v>
      </c>
      <c r="F22" s="90">
        <f t="shared" si="2"/>
        <v>16</v>
      </c>
      <c r="G22" s="91">
        <f t="shared" si="3"/>
        <v>1.7777777777777777</v>
      </c>
      <c r="H22" s="124">
        <f t="shared" si="4"/>
        <v>2</v>
      </c>
      <c r="I22" s="93">
        <f t="shared" si="5"/>
        <v>1.5</v>
      </c>
      <c r="J22" s="94">
        <f t="shared" si="6"/>
        <v>461.69600000000003</v>
      </c>
      <c r="K22" s="96">
        <f t="shared" si="7"/>
        <v>180</v>
      </c>
      <c r="L22" s="95">
        <f t="shared" si="8"/>
        <v>300</v>
      </c>
      <c r="M22" s="96">
        <f t="shared" si="9"/>
        <v>941.69600000000003</v>
      </c>
      <c r="N22" s="94">
        <f t="shared" si="10"/>
        <v>235.16112919540237</v>
      </c>
      <c r="O22" s="97">
        <f t="shared" si="11"/>
        <v>1176.8571291954024</v>
      </c>
      <c r="P22" s="72">
        <v>6</v>
      </c>
      <c r="Q22" s="98">
        <f t="shared" si="12"/>
        <v>588.42856459770121</v>
      </c>
      <c r="R22" s="99"/>
    </row>
    <row r="23" spans="1:18" s="74" customFormat="1" ht="11.25" x14ac:dyDescent="0.2">
      <c r="A23" s="85">
        <v>700</v>
      </c>
      <c r="B23" s="86">
        <v>40</v>
      </c>
      <c r="C23" s="87">
        <f t="shared" si="0"/>
        <v>74</v>
      </c>
      <c r="D23" s="88">
        <f t="shared" si="1"/>
        <v>9.25</v>
      </c>
      <c r="E23" s="89">
        <v>8</v>
      </c>
      <c r="F23" s="90">
        <f t="shared" si="2"/>
        <v>17.25</v>
      </c>
      <c r="G23" s="91">
        <f t="shared" si="3"/>
        <v>1.9166666666666667</v>
      </c>
      <c r="H23" s="124">
        <f t="shared" si="4"/>
        <v>2</v>
      </c>
      <c r="I23" s="93">
        <f t="shared" si="5"/>
        <v>1.5</v>
      </c>
      <c r="J23" s="94">
        <f t="shared" si="6"/>
        <v>533.83600000000001</v>
      </c>
      <c r="K23" s="96">
        <f t="shared" si="7"/>
        <v>180</v>
      </c>
      <c r="L23" s="95">
        <f t="shared" si="8"/>
        <v>300</v>
      </c>
      <c r="M23" s="96">
        <f t="shared" si="9"/>
        <v>1013.836</v>
      </c>
      <c r="N23" s="94">
        <f t="shared" si="10"/>
        <v>253.17599159277509</v>
      </c>
      <c r="O23" s="97">
        <f t="shared" si="11"/>
        <v>1267.0119915927751</v>
      </c>
      <c r="P23" s="72">
        <v>7</v>
      </c>
      <c r="Q23" s="98">
        <f t="shared" si="12"/>
        <v>633.50599579638754</v>
      </c>
      <c r="R23" s="99"/>
    </row>
    <row r="24" spans="1:18" s="74" customFormat="1" ht="11.25" x14ac:dyDescent="0.2">
      <c r="A24" s="85">
        <v>800</v>
      </c>
      <c r="B24" s="86">
        <v>40</v>
      </c>
      <c r="C24" s="87">
        <f t="shared" si="0"/>
        <v>84</v>
      </c>
      <c r="D24" s="88">
        <f t="shared" si="1"/>
        <v>10.5</v>
      </c>
      <c r="E24" s="89">
        <v>8</v>
      </c>
      <c r="F24" s="90">
        <f t="shared" si="2"/>
        <v>18.5</v>
      </c>
      <c r="G24" s="91">
        <f t="shared" si="3"/>
        <v>2.0555555555555554</v>
      </c>
      <c r="H24" s="124">
        <f t="shared" si="4"/>
        <v>3</v>
      </c>
      <c r="I24" s="93">
        <f t="shared" si="5"/>
        <v>2.5</v>
      </c>
      <c r="J24" s="94">
        <f t="shared" si="6"/>
        <v>605.976</v>
      </c>
      <c r="K24" s="96">
        <f t="shared" si="7"/>
        <v>270</v>
      </c>
      <c r="L24" s="95">
        <f t="shared" si="8"/>
        <v>500</v>
      </c>
      <c r="M24" s="96">
        <f t="shared" si="9"/>
        <v>1375.9760000000001</v>
      </c>
      <c r="N24" s="94">
        <f t="shared" si="10"/>
        <v>343.6099016091955</v>
      </c>
      <c r="O24" s="97">
        <f t="shared" si="11"/>
        <v>1719.5859016091956</v>
      </c>
      <c r="P24" s="72">
        <v>8</v>
      </c>
      <c r="Q24" s="98">
        <f t="shared" si="12"/>
        <v>573.19530053639858</v>
      </c>
      <c r="R24" s="99"/>
    </row>
    <row r="25" spans="1:18" s="74" customFormat="1" ht="11.25" x14ac:dyDescent="0.2">
      <c r="A25" s="85">
        <v>900</v>
      </c>
      <c r="B25" s="86">
        <v>40</v>
      </c>
      <c r="C25" s="87">
        <f t="shared" si="0"/>
        <v>94</v>
      </c>
      <c r="D25" s="88">
        <f t="shared" si="1"/>
        <v>11.75</v>
      </c>
      <c r="E25" s="89">
        <v>8</v>
      </c>
      <c r="F25" s="90">
        <f t="shared" si="2"/>
        <v>19.75</v>
      </c>
      <c r="G25" s="91">
        <f t="shared" si="3"/>
        <v>2.1944444444444446</v>
      </c>
      <c r="H25" s="124">
        <f t="shared" si="4"/>
        <v>3</v>
      </c>
      <c r="I25" s="93">
        <f t="shared" si="5"/>
        <v>2.5</v>
      </c>
      <c r="J25" s="94">
        <f t="shared" si="6"/>
        <v>678.11599999999999</v>
      </c>
      <c r="K25" s="96">
        <f t="shared" si="7"/>
        <v>270</v>
      </c>
      <c r="L25" s="95">
        <f t="shared" si="8"/>
        <v>500</v>
      </c>
      <c r="M25" s="96">
        <f t="shared" si="9"/>
        <v>1448.116</v>
      </c>
      <c r="N25" s="94">
        <f t="shared" si="10"/>
        <v>361.62476400656823</v>
      </c>
      <c r="O25" s="97">
        <f t="shared" si="11"/>
        <v>1809.7407640065683</v>
      </c>
      <c r="P25" s="72">
        <v>9</v>
      </c>
      <c r="Q25" s="98">
        <f t="shared" si="12"/>
        <v>603.24692133552276</v>
      </c>
      <c r="R25" s="99"/>
    </row>
    <row r="26" spans="1:18" s="74" customFormat="1" ht="11.25" x14ac:dyDescent="0.2">
      <c r="A26" s="85">
        <v>1000</v>
      </c>
      <c r="B26" s="86">
        <v>40</v>
      </c>
      <c r="C26" s="87">
        <f t="shared" si="0"/>
        <v>104</v>
      </c>
      <c r="D26" s="88">
        <f t="shared" si="1"/>
        <v>13</v>
      </c>
      <c r="E26" s="89">
        <v>8</v>
      </c>
      <c r="F26" s="90">
        <f t="shared" si="2"/>
        <v>21</v>
      </c>
      <c r="G26" s="91">
        <f t="shared" si="3"/>
        <v>2.3333333333333335</v>
      </c>
      <c r="H26" s="124">
        <f t="shared" si="4"/>
        <v>3</v>
      </c>
      <c r="I26" s="93">
        <f t="shared" si="5"/>
        <v>2.5</v>
      </c>
      <c r="J26" s="94">
        <f t="shared" si="6"/>
        <v>750.25600000000009</v>
      </c>
      <c r="K26" s="96">
        <f t="shared" si="7"/>
        <v>270</v>
      </c>
      <c r="L26" s="95">
        <f t="shared" si="8"/>
        <v>500</v>
      </c>
      <c r="M26" s="96">
        <f t="shared" si="9"/>
        <v>1520.2560000000001</v>
      </c>
      <c r="N26" s="94">
        <f t="shared" si="10"/>
        <v>379.63962640394101</v>
      </c>
      <c r="O26" s="97">
        <f t="shared" si="11"/>
        <v>1899.8956264039412</v>
      </c>
      <c r="P26" s="72">
        <v>10</v>
      </c>
      <c r="Q26" s="98">
        <f t="shared" si="12"/>
        <v>633.29854213464705</v>
      </c>
      <c r="R26" s="99"/>
    </row>
    <row r="27" spans="1:18" s="74" customFormat="1" ht="11.25" x14ac:dyDescent="0.2">
      <c r="A27" s="85">
        <v>1100</v>
      </c>
      <c r="B27" s="86">
        <v>40</v>
      </c>
      <c r="C27" s="87">
        <f t="shared" si="0"/>
        <v>114</v>
      </c>
      <c r="D27" s="88">
        <f t="shared" si="1"/>
        <v>14.25</v>
      </c>
      <c r="E27" s="89">
        <v>8</v>
      </c>
      <c r="F27" s="90">
        <f t="shared" si="2"/>
        <v>22.25</v>
      </c>
      <c r="G27" s="91">
        <f t="shared" si="3"/>
        <v>2.4722222222222223</v>
      </c>
      <c r="H27" s="124">
        <f t="shared" si="4"/>
        <v>3</v>
      </c>
      <c r="I27" s="93">
        <f t="shared" si="5"/>
        <v>2.5</v>
      </c>
      <c r="J27" s="94">
        <f t="shared" si="6"/>
        <v>822.39600000000007</v>
      </c>
      <c r="K27" s="96">
        <f t="shared" si="7"/>
        <v>270</v>
      </c>
      <c r="L27" s="95">
        <f t="shared" si="8"/>
        <v>500</v>
      </c>
      <c r="M27" s="96">
        <f t="shared" si="9"/>
        <v>1592.3960000000002</v>
      </c>
      <c r="N27" s="94">
        <f t="shared" si="10"/>
        <v>397.65448880131379</v>
      </c>
      <c r="O27" s="97">
        <f t="shared" si="11"/>
        <v>1990.050488801314</v>
      </c>
      <c r="P27" s="72">
        <v>11</v>
      </c>
      <c r="Q27" s="98">
        <f t="shared" si="12"/>
        <v>663.35016293377134</v>
      </c>
      <c r="R27" s="99"/>
    </row>
    <row r="28" spans="1:18" s="74" customFormat="1" ht="11.25" x14ac:dyDescent="0.2">
      <c r="A28" s="85">
        <v>1200</v>
      </c>
      <c r="B28" s="86">
        <v>40</v>
      </c>
      <c r="C28" s="87">
        <f t="shared" si="0"/>
        <v>124</v>
      </c>
      <c r="D28" s="88">
        <f t="shared" si="1"/>
        <v>15.5</v>
      </c>
      <c r="E28" s="89">
        <v>8</v>
      </c>
      <c r="F28" s="90">
        <f t="shared" si="2"/>
        <v>23.5</v>
      </c>
      <c r="G28" s="91">
        <f t="shared" si="3"/>
        <v>2.6111111111111112</v>
      </c>
      <c r="H28" s="124">
        <f t="shared" si="4"/>
        <v>3</v>
      </c>
      <c r="I28" s="93">
        <f t="shared" si="5"/>
        <v>2.5</v>
      </c>
      <c r="J28" s="94">
        <f t="shared" si="6"/>
        <v>894.53600000000006</v>
      </c>
      <c r="K28" s="96">
        <f t="shared" si="7"/>
        <v>270</v>
      </c>
      <c r="L28" s="95">
        <f t="shared" si="8"/>
        <v>500</v>
      </c>
      <c r="M28" s="96">
        <f t="shared" si="9"/>
        <v>1664.5360000000001</v>
      </c>
      <c r="N28" s="94">
        <f t="shared" si="10"/>
        <v>415.66935119868646</v>
      </c>
      <c r="O28" s="97">
        <f t="shared" si="11"/>
        <v>2080.2053511986865</v>
      </c>
      <c r="P28" s="72">
        <v>12</v>
      </c>
      <c r="Q28" s="98">
        <f t="shared" si="12"/>
        <v>693.40178373289552</v>
      </c>
      <c r="R28" s="99"/>
    </row>
    <row r="29" spans="1:18" s="74" customFormat="1" ht="11.25" x14ac:dyDescent="0.2">
      <c r="A29" s="85">
        <v>1300</v>
      </c>
      <c r="B29" s="86">
        <v>40</v>
      </c>
      <c r="C29" s="87">
        <f t="shared" si="0"/>
        <v>134</v>
      </c>
      <c r="D29" s="88">
        <f t="shared" si="1"/>
        <v>16.75</v>
      </c>
      <c r="E29" s="89">
        <v>8</v>
      </c>
      <c r="F29" s="90">
        <f t="shared" si="2"/>
        <v>24.75</v>
      </c>
      <c r="G29" s="91">
        <f t="shared" si="3"/>
        <v>2.75</v>
      </c>
      <c r="H29" s="124">
        <f t="shared" si="4"/>
        <v>3</v>
      </c>
      <c r="I29" s="93">
        <f t="shared" si="5"/>
        <v>2.5</v>
      </c>
      <c r="J29" s="94">
        <f t="shared" si="6"/>
        <v>966.67600000000004</v>
      </c>
      <c r="K29" s="96">
        <f t="shared" si="7"/>
        <v>270</v>
      </c>
      <c r="L29" s="95">
        <f t="shared" si="8"/>
        <v>500</v>
      </c>
      <c r="M29" s="96">
        <f t="shared" si="9"/>
        <v>1736.6759999999999</v>
      </c>
      <c r="N29" s="94">
        <f t="shared" si="10"/>
        <v>433.68421359605918</v>
      </c>
      <c r="O29" s="97">
        <f t="shared" si="11"/>
        <v>2170.3602135960591</v>
      </c>
      <c r="P29" s="72">
        <v>13</v>
      </c>
      <c r="Q29" s="98">
        <f t="shared" si="12"/>
        <v>723.4534045320197</v>
      </c>
      <c r="R29" s="99"/>
    </row>
    <row r="30" spans="1:18" s="74" customFormat="1" ht="11.25" x14ac:dyDescent="0.2">
      <c r="A30" s="85">
        <v>1400</v>
      </c>
      <c r="B30" s="86">
        <v>40</v>
      </c>
      <c r="C30" s="87">
        <f t="shared" si="0"/>
        <v>144</v>
      </c>
      <c r="D30" s="88">
        <f t="shared" si="1"/>
        <v>18</v>
      </c>
      <c r="E30" s="89">
        <v>8</v>
      </c>
      <c r="F30" s="90">
        <f t="shared" si="2"/>
        <v>26</v>
      </c>
      <c r="G30" s="91">
        <f t="shared" si="3"/>
        <v>2.8888888888888888</v>
      </c>
      <c r="H30" s="124">
        <f t="shared" si="4"/>
        <v>3</v>
      </c>
      <c r="I30" s="93">
        <f t="shared" si="5"/>
        <v>2.5</v>
      </c>
      <c r="J30" s="94">
        <f t="shared" si="6"/>
        <v>1038.816</v>
      </c>
      <c r="K30" s="96">
        <f t="shared" si="7"/>
        <v>270</v>
      </c>
      <c r="L30" s="95">
        <f t="shared" si="8"/>
        <v>500</v>
      </c>
      <c r="M30" s="96">
        <f t="shared" si="9"/>
        <v>1808.816</v>
      </c>
      <c r="N30" s="94">
        <f t="shared" si="10"/>
        <v>451.69907599343196</v>
      </c>
      <c r="O30" s="97">
        <f t="shared" si="11"/>
        <v>2260.5150759934322</v>
      </c>
      <c r="P30" s="72">
        <v>14</v>
      </c>
      <c r="Q30" s="98">
        <f t="shared" si="12"/>
        <v>753.50502533114411</v>
      </c>
      <c r="R30" s="99"/>
    </row>
    <row r="31" spans="1:18" s="74" customFormat="1" ht="11.25" x14ac:dyDescent="0.2">
      <c r="A31" s="85">
        <v>1500</v>
      </c>
      <c r="B31" s="86">
        <v>40</v>
      </c>
      <c r="C31" s="87">
        <f t="shared" si="0"/>
        <v>154</v>
      </c>
      <c r="D31" s="88">
        <f t="shared" si="1"/>
        <v>19.25</v>
      </c>
      <c r="E31" s="89">
        <v>8</v>
      </c>
      <c r="F31" s="90">
        <f t="shared" si="2"/>
        <v>27.25</v>
      </c>
      <c r="G31" s="91">
        <f t="shared" si="3"/>
        <v>3.0277777777777777</v>
      </c>
      <c r="H31" s="124">
        <f t="shared" si="4"/>
        <v>4</v>
      </c>
      <c r="I31" s="93">
        <f t="shared" si="5"/>
        <v>3.5</v>
      </c>
      <c r="J31" s="94">
        <f t="shared" si="6"/>
        <v>1110.9560000000001</v>
      </c>
      <c r="K31" s="96">
        <f t="shared" si="7"/>
        <v>360</v>
      </c>
      <c r="L31" s="95">
        <f t="shared" si="8"/>
        <v>700</v>
      </c>
      <c r="M31" s="96">
        <f t="shared" si="9"/>
        <v>2170.9560000000001</v>
      </c>
      <c r="N31" s="94">
        <f t="shared" si="10"/>
        <v>542.1329860098524</v>
      </c>
      <c r="O31" s="97">
        <f t="shared" si="11"/>
        <v>2713.0889860098523</v>
      </c>
      <c r="P31" s="72">
        <v>15</v>
      </c>
      <c r="Q31" s="98">
        <f t="shared" si="12"/>
        <v>678.27224650246308</v>
      </c>
      <c r="R31" s="99"/>
    </row>
    <row r="32" spans="1:18" s="74" customFormat="1" ht="11.25" x14ac:dyDescent="0.2">
      <c r="A32" s="85">
        <v>1600</v>
      </c>
      <c r="B32" s="86">
        <v>40</v>
      </c>
      <c r="C32" s="87">
        <f t="shared" si="0"/>
        <v>164</v>
      </c>
      <c r="D32" s="88">
        <f t="shared" si="1"/>
        <v>20.5</v>
      </c>
      <c r="E32" s="89">
        <v>8</v>
      </c>
      <c r="F32" s="90">
        <f t="shared" si="2"/>
        <v>28.5</v>
      </c>
      <c r="G32" s="91">
        <f t="shared" si="3"/>
        <v>3.1666666666666665</v>
      </c>
      <c r="H32" s="124">
        <f t="shared" si="4"/>
        <v>4</v>
      </c>
      <c r="I32" s="93">
        <f t="shared" si="5"/>
        <v>3.5</v>
      </c>
      <c r="J32" s="94">
        <f t="shared" si="6"/>
        <v>1183.096</v>
      </c>
      <c r="K32" s="96">
        <f t="shared" si="7"/>
        <v>360</v>
      </c>
      <c r="L32" s="95">
        <f t="shared" si="8"/>
        <v>700</v>
      </c>
      <c r="M32" s="96">
        <f t="shared" si="9"/>
        <v>2243.096</v>
      </c>
      <c r="N32" s="94">
        <f t="shared" si="10"/>
        <v>560.14784840722507</v>
      </c>
      <c r="O32" s="97">
        <f t="shared" si="11"/>
        <v>2803.243848407225</v>
      </c>
      <c r="P32" s="72">
        <v>16</v>
      </c>
      <c r="Q32" s="98">
        <f t="shared" si="12"/>
        <v>700.81096210180624</v>
      </c>
      <c r="R32" s="99"/>
    </row>
    <row r="33" spans="1:18" s="74" customFormat="1" ht="11.25" x14ac:dyDescent="0.2">
      <c r="A33" s="85">
        <v>1700</v>
      </c>
      <c r="B33" s="86">
        <v>40</v>
      </c>
      <c r="C33" s="87">
        <f t="shared" si="0"/>
        <v>174</v>
      </c>
      <c r="D33" s="88">
        <f t="shared" si="1"/>
        <v>21.75</v>
      </c>
      <c r="E33" s="89">
        <v>8</v>
      </c>
      <c r="F33" s="90">
        <f t="shared" si="2"/>
        <v>29.75</v>
      </c>
      <c r="G33" s="91">
        <f t="shared" si="3"/>
        <v>3.3055555555555554</v>
      </c>
      <c r="H33" s="124">
        <f t="shared" si="4"/>
        <v>4</v>
      </c>
      <c r="I33" s="93">
        <f t="shared" si="5"/>
        <v>3.5</v>
      </c>
      <c r="J33" s="94">
        <f t="shared" si="6"/>
        <v>1255.2360000000001</v>
      </c>
      <c r="K33" s="96">
        <f t="shared" si="7"/>
        <v>360</v>
      </c>
      <c r="L33" s="95">
        <f t="shared" si="8"/>
        <v>700</v>
      </c>
      <c r="M33" s="96">
        <f t="shared" si="9"/>
        <v>2315.2359999999999</v>
      </c>
      <c r="N33" s="94">
        <f t="shared" si="10"/>
        <v>578.16271080459785</v>
      </c>
      <c r="O33" s="97">
        <f t="shared" si="11"/>
        <v>2893.3987108045976</v>
      </c>
      <c r="P33" s="72">
        <v>17</v>
      </c>
      <c r="Q33" s="98">
        <f t="shared" si="12"/>
        <v>723.3496777011494</v>
      </c>
      <c r="R33" s="99"/>
    </row>
    <row r="34" spans="1:18" s="74" customFormat="1" ht="11.25" x14ac:dyDescent="0.2">
      <c r="A34" s="85">
        <v>1800</v>
      </c>
      <c r="B34" s="86">
        <v>40</v>
      </c>
      <c r="C34" s="87">
        <f t="shared" si="0"/>
        <v>184</v>
      </c>
      <c r="D34" s="88">
        <f t="shared" si="1"/>
        <v>23</v>
      </c>
      <c r="E34" s="89">
        <v>8</v>
      </c>
      <c r="F34" s="90">
        <f t="shared" si="2"/>
        <v>31</v>
      </c>
      <c r="G34" s="91">
        <f t="shared" si="3"/>
        <v>3.4444444444444446</v>
      </c>
      <c r="H34" s="124">
        <f t="shared" si="4"/>
        <v>4</v>
      </c>
      <c r="I34" s="93">
        <f t="shared" si="5"/>
        <v>3.5</v>
      </c>
      <c r="J34" s="94">
        <f t="shared" si="6"/>
        <v>1327.376</v>
      </c>
      <c r="K34" s="96">
        <f t="shared" si="7"/>
        <v>360</v>
      </c>
      <c r="L34" s="95">
        <f t="shared" si="8"/>
        <v>700</v>
      </c>
      <c r="M34" s="96">
        <f t="shared" si="9"/>
        <v>2387.3760000000002</v>
      </c>
      <c r="N34" s="94">
        <f t="shared" si="10"/>
        <v>596.17757320197063</v>
      </c>
      <c r="O34" s="97">
        <f t="shared" si="11"/>
        <v>2983.5535732019707</v>
      </c>
      <c r="P34" s="72">
        <v>18</v>
      </c>
      <c r="Q34" s="98">
        <f t="shared" si="12"/>
        <v>745.88839330049268</v>
      </c>
      <c r="R34" s="99"/>
    </row>
    <row r="35" spans="1:18" s="74" customFormat="1" ht="11.25" x14ac:dyDescent="0.2">
      <c r="A35" s="85">
        <v>1900</v>
      </c>
      <c r="B35" s="86">
        <v>40</v>
      </c>
      <c r="C35" s="87">
        <f t="shared" si="0"/>
        <v>194</v>
      </c>
      <c r="D35" s="88">
        <f t="shared" si="1"/>
        <v>24.25</v>
      </c>
      <c r="E35" s="89">
        <v>8</v>
      </c>
      <c r="F35" s="90">
        <f t="shared" si="2"/>
        <v>32.25</v>
      </c>
      <c r="G35" s="91">
        <f t="shared" si="3"/>
        <v>3.5833333333333335</v>
      </c>
      <c r="H35" s="124">
        <f t="shared" si="4"/>
        <v>4</v>
      </c>
      <c r="I35" s="93">
        <f t="shared" si="5"/>
        <v>3.5</v>
      </c>
      <c r="J35" s="94">
        <f t="shared" si="6"/>
        <v>1399.5160000000001</v>
      </c>
      <c r="K35" s="96">
        <f t="shared" si="7"/>
        <v>360</v>
      </c>
      <c r="L35" s="95">
        <f t="shared" si="8"/>
        <v>700</v>
      </c>
      <c r="M35" s="96">
        <f t="shared" si="9"/>
        <v>2459.5160000000001</v>
      </c>
      <c r="N35" s="94">
        <f t="shared" si="10"/>
        <v>614.1924355993433</v>
      </c>
      <c r="O35" s="97">
        <f t="shared" si="11"/>
        <v>3073.7084355993434</v>
      </c>
      <c r="P35" s="72">
        <v>19</v>
      </c>
      <c r="Q35" s="98">
        <f t="shared" si="12"/>
        <v>768.42710889983584</v>
      </c>
      <c r="R35" s="99"/>
    </row>
    <row r="36" spans="1:18" s="74" customFormat="1" ht="11.25" x14ac:dyDescent="0.2">
      <c r="A36" s="85">
        <v>2000</v>
      </c>
      <c r="B36" s="86">
        <v>40</v>
      </c>
      <c r="C36" s="87">
        <f t="shared" si="0"/>
        <v>204</v>
      </c>
      <c r="D36" s="88">
        <f t="shared" si="1"/>
        <v>25.5</v>
      </c>
      <c r="E36" s="89">
        <v>8</v>
      </c>
      <c r="F36" s="90">
        <f t="shared" si="2"/>
        <v>33.5</v>
      </c>
      <c r="G36" s="91">
        <f t="shared" si="3"/>
        <v>3.7222222222222223</v>
      </c>
      <c r="H36" s="124">
        <f t="shared" si="4"/>
        <v>4</v>
      </c>
      <c r="I36" s="93">
        <f t="shared" si="5"/>
        <v>3.5</v>
      </c>
      <c r="J36" s="94">
        <f t="shared" si="6"/>
        <v>1471.6560000000002</v>
      </c>
      <c r="K36" s="96">
        <f t="shared" si="7"/>
        <v>360</v>
      </c>
      <c r="L36" s="95">
        <f t="shared" si="8"/>
        <v>700</v>
      </c>
      <c r="M36" s="96">
        <f t="shared" si="9"/>
        <v>2531.6559999999999</v>
      </c>
      <c r="N36" s="94">
        <f t="shared" si="10"/>
        <v>632.20729799671608</v>
      </c>
      <c r="O36" s="97">
        <f t="shared" si="11"/>
        <v>3163.863297996716</v>
      </c>
      <c r="P36" s="72">
        <v>20</v>
      </c>
      <c r="Q36" s="98">
        <f t="shared" si="12"/>
        <v>790.96582449917901</v>
      </c>
      <c r="R36" s="99"/>
    </row>
    <row r="37" spans="1:18" s="74" customFormat="1" ht="11.25" x14ac:dyDescent="0.2">
      <c r="A37" s="85">
        <v>2100</v>
      </c>
      <c r="B37" s="86">
        <v>40</v>
      </c>
      <c r="C37" s="87">
        <f t="shared" si="0"/>
        <v>214</v>
      </c>
      <c r="D37" s="88">
        <f t="shared" si="1"/>
        <v>26.75</v>
      </c>
      <c r="E37" s="89">
        <v>8</v>
      </c>
      <c r="F37" s="90">
        <f t="shared" si="2"/>
        <v>34.75</v>
      </c>
      <c r="G37" s="91">
        <f t="shared" si="3"/>
        <v>3.8611111111111112</v>
      </c>
      <c r="H37" s="124">
        <f t="shared" si="4"/>
        <v>4</v>
      </c>
      <c r="I37" s="93">
        <f t="shared" si="5"/>
        <v>3.5</v>
      </c>
      <c r="J37" s="94">
        <f t="shared" si="6"/>
        <v>1543.796</v>
      </c>
      <c r="K37" s="96">
        <f t="shared" si="7"/>
        <v>360</v>
      </c>
      <c r="L37" s="95">
        <f t="shared" si="8"/>
        <v>700</v>
      </c>
      <c r="M37" s="96">
        <f t="shared" si="9"/>
        <v>2603.7960000000003</v>
      </c>
      <c r="N37" s="94">
        <f t="shared" si="10"/>
        <v>650.22216039408886</v>
      </c>
      <c r="O37" s="97">
        <f t="shared" si="11"/>
        <v>3254.0181603940891</v>
      </c>
      <c r="P37" s="72">
        <v>21</v>
      </c>
      <c r="Q37" s="98">
        <f t="shared" si="12"/>
        <v>813.50454009852228</v>
      </c>
      <c r="R37" s="99"/>
    </row>
    <row r="38" spans="1:18" s="74" customFormat="1" ht="11.25" x14ac:dyDescent="0.2">
      <c r="A38" s="85">
        <v>2200</v>
      </c>
      <c r="B38" s="86">
        <v>40</v>
      </c>
      <c r="C38" s="87">
        <f t="shared" si="0"/>
        <v>224</v>
      </c>
      <c r="D38" s="88">
        <f t="shared" si="1"/>
        <v>28</v>
      </c>
      <c r="E38" s="89">
        <v>8</v>
      </c>
      <c r="F38" s="90">
        <f t="shared" si="2"/>
        <v>36</v>
      </c>
      <c r="G38" s="91">
        <f t="shared" si="3"/>
        <v>4</v>
      </c>
      <c r="H38" s="124">
        <f t="shared" si="4"/>
        <v>4</v>
      </c>
      <c r="I38" s="93">
        <f t="shared" si="5"/>
        <v>3.5</v>
      </c>
      <c r="J38" s="94">
        <f t="shared" si="6"/>
        <v>1615.9360000000001</v>
      </c>
      <c r="K38" s="96">
        <f t="shared" si="7"/>
        <v>360</v>
      </c>
      <c r="L38" s="95">
        <f t="shared" si="8"/>
        <v>700</v>
      </c>
      <c r="M38" s="96">
        <f t="shared" si="9"/>
        <v>2675.9360000000001</v>
      </c>
      <c r="N38" s="94">
        <f t="shared" si="10"/>
        <v>668.23702279146164</v>
      </c>
      <c r="O38" s="97">
        <f t="shared" si="11"/>
        <v>3344.1730227914618</v>
      </c>
      <c r="P38" s="72">
        <v>22</v>
      </c>
      <c r="Q38" s="98">
        <f t="shared" si="12"/>
        <v>836.04325569786545</v>
      </c>
      <c r="R38" s="99"/>
    </row>
    <row r="39" spans="1:18" s="74" customFormat="1" ht="11.25" x14ac:dyDescent="0.2">
      <c r="A39" s="85">
        <v>2300</v>
      </c>
      <c r="B39" s="86">
        <v>40</v>
      </c>
      <c r="C39" s="87">
        <f t="shared" si="0"/>
        <v>234</v>
      </c>
      <c r="D39" s="88">
        <f t="shared" si="1"/>
        <v>29.25</v>
      </c>
      <c r="E39" s="89">
        <v>8</v>
      </c>
      <c r="F39" s="90">
        <f t="shared" si="2"/>
        <v>37.25</v>
      </c>
      <c r="G39" s="91">
        <f t="shared" si="3"/>
        <v>4.1388888888888893</v>
      </c>
      <c r="H39" s="124">
        <f t="shared" si="4"/>
        <v>5</v>
      </c>
      <c r="I39" s="93">
        <f t="shared" si="5"/>
        <v>4.5</v>
      </c>
      <c r="J39" s="94">
        <f t="shared" si="6"/>
        <v>1688.076</v>
      </c>
      <c r="K39" s="96">
        <f t="shared" si="7"/>
        <v>450</v>
      </c>
      <c r="L39" s="95">
        <f t="shared" si="8"/>
        <v>900</v>
      </c>
      <c r="M39" s="96">
        <f t="shared" si="9"/>
        <v>3038.076</v>
      </c>
      <c r="N39" s="94">
        <f t="shared" si="10"/>
        <v>758.67093280788197</v>
      </c>
      <c r="O39" s="97">
        <f t="shared" si="11"/>
        <v>3796.7469328078819</v>
      </c>
      <c r="P39" s="72">
        <v>23</v>
      </c>
      <c r="Q39" s="98">
        <f t="shared" si="12"/>
        <v>759.34938656157635</v>
      </c>
      <c r="R39" s="99"/>
    </row>
    <row r="40" spans="1:18" s="74" customFormat="1" ht="11.25" x14ac:dyDescent="0.2">
      <c r="A40" s="85">
        <v>2400</v>
      </c>
      <c r="B40" s="86">
        <v>40</v>
      </c>
      <c r="C40" s="87">
        <f t="shared" si="0"/>
        <v>244</v>
      </c>
      <c r="D40" s="88">
        <f t="shared" si="1"/>
        <v>30.5</v>
      </c>
      <c r="E40" s="89">
        <v>8</v>
      </c>
      <c r="F40" s="90">
        <f t="shared" si="2"/>
        <v>38.5</v>
      </c>
      <c r="G40" s="91">
        <f t="shared" si="3"/>
        <v>4.2777777777777777</v>
      </c>
      <c r="H40" s="124">
        <f t="shared" si="4"/>
        <v>5</v>
      </c>
      <c r="I40" s="93">
        <f t="shared" si="5"/>
        <v>4.5</v>
      </c>
      <c r="J40" s="94">
        <f t="shared" si="6"/>
        <v>1760.2160000000001</v>
      </c>
      <c r="K40" s="96">
        <f t="shared" si="7"/>
        <v>450</v>
      </c>
      <c r="L40" s="95">
        <f t="shared" si="8"/>
        <v>900</v>
      </c>
      <c r="M40" s="96">
        <f t="shared" si="9"/>
        <v>3110.2160000000003</v>
      </c>
      <c r="N40" s="94">
        <f t="shared" si="10"/>
        <v>776.68579520525475</v>
      </c>
      <c r="O40" s="97">
        <f t="shared" si="11"/>
        <v>3886.901795205255</v>
      </c>
      <c r="P40" s="72">
        <v>24</v>
      </c>
      <c r="Q40" s="98">
        <f t="shared" si="12"/>
        <v>777.38035904105095</v>
      </c>
      <c r="R40" s="99"/>
    </row>
    <row r="41" spans="1:18" s="74" customFormat="1" ht="11.25" x14ac:dyDescent="0.2">
      <c r="A41" s="85">
        <v>2500</v>
      </c>
      <c r="B41" s="86">
        <v>40</v>
      </c>
      <c r="C41" s="87">
        <f t="shared" si="0"/>
        <v>254</v>
      </c>
      <c r="D41" s="88">
        <f t="shared" si="1"/>
        <v>31.75</v>
      </c>
      <c r="E41" s="89">
        <v>8</v>
      </c>
      <c r="F41" s="90">
        <f t="shared" si="2"/>
        <v>39.75</v>
      </c>
      <c r="G41" s="91">
        <f t="shared" si="3"/>
        <v>4.416666666666667</v>
      </c>
      <c r="H41" s="124">
        <f t="shared" si="4"/>
        <v>5</v>
      </c>
      <c r="I41" s="93">
        <f t="shared" si="5"/>
        <v>4.5</v>
      </c>
      <c r="J41" s="94">
        <f t="shared" si="6"/>
        <v>1832.356</v>
      </c>
      <c r="K41" s="96">
        <f t="shared" si="7"/>
        <v>450</v>
      </c>
      <c r="L41" s="95">
        <f t="shared" si="8"/>
        <v>900</v>
      </c>
      <c r="M41" s="96">
        <f t="shared" si="9"/>
        <v>3182.3559999999998</v>
      </c>
      <c r="N41" s="94">
        <f t="shared" si="10"/>
        <v>794.70065760262742</v>
      </c>
      <c r="O41" s="97">
        <f t="shared" si="11"/>
        <v>3977.0566576026272</v>
      </c>
      <c r="P41" s="72">
        <v>25</v>
      </c>
      <c r="Q41" s="98">
        <f t="shared" si="12"/>
        <v>795.41133152052544</v>
      </c>
      <c r="R41" s="99"/>
    </row>
    <row r="42" spans="1:18" s="74" customFormat="1" ht="11.25" x14ac:dyDescent="0.2">
      <c r="A42" s="85">
        <v>2600</v>
      </c>
      <c r="B42" s="86">
        <v>40</v>
      </c>
      <c r="C42" s="87">
        <f t="shared" si="0"/>
        <v>264</v>
      </c>
      <c r="D42" s="88">
        <f t="shared" si="1"/>
        <v>33</v>
      </c>
      <c r="E42" s="89">
        <v>8</v>
      </c>
      <c r="F42" s="90">
        <f t="shared" si="2"/>
        <v>41</v>
      </c>
      <c r="G42" s="91">
        <f t="shared" si="3"/>
        <v>4.5555555555555554</v>
      </c>
      <c r="H42" s="124">
        <f t="shared" si="4"/>
        <v>5</v>
      </c>
      <c r="I42" s="93">
        <f t="shared" si="5"/>
        <v>4.5</v>
      </c>
      <c r="J42" s="94">
        <f t="shared" si="6"/>
        <v>1904.4960000000001</v>
      </c>
      <c r="K42" s="96">
        <f t="shared" si="7"/>
        <v>450</v>
      </c>
      <c r="L42" s="95">
        <f t="shared" si="8"/>
        <v>900</v>
      </c>
      <c r="M42" s="96">
        <f t="shared" si="9"/>
        <v>3254.4960000000001</v>
      </c>
      <c r="N42" s="94">
        <f t="shared" si="10"/>
        <v>812.7155200000002</v>
      </c>
      <c r="O42" s="97">
        <f t="shared" si="11"/>
        <v>4067.2115200000003</v>
      </c>
      <c r="P42" s="72">
        <v>26</v>
      </c>
      <c r="Q42" s="98">
        <f t="shared" si="12"/>
        <v>813.44230400000004</v>
      </c>
      <c r="R42" s="99"/>
    </row>
    <row r="43" spans="1:18" s="74" customFormat="1" ht="11.25" x14ac:dyDescent="0.2">
      <c r="A43" s="85">
        <v>2700</v>
      </c>
      <c r="B43" s="86">
        <v>40</v>
      </c>
      <c r="C43" s="87">
        <f t="shared" si="0"/>
        <v>274</v>
      </c>
      <c r="D43" s="88">
        <f t="shared" si="1"/>
        <v>34.25</v>
      </c>
      <c r="E43" s="89">
        <v>8</v>
      </c>
      <c r="F43" s="90">
        <f t="shared" si="2"/>
        <v>42.25</v>
      </c>
      <c r="G43" s="91">
        <f t="shared" si="3"/>
        <v>4.6944444444444446</v>
      </c>
      <c r="H43" s="124">
        <f t="shared" si="4"/>
        <v>5</v>
      </c>
      <c r="I43" s="93">
        <f t="shared" si="5"/>
        <v>4.5</v>
      </c>
      <c r="J43" s="94">
        <f t="shared" si="6"/>
        <v>1976.6360000000002</v>
      </c>
      <c r="K43" s="96">
        <f t="shared" si="7"/>
        <v>450</v>
      </c>
      <c r="L43" s="95">
        <f t="shared" si="8"/>
        <v>900</v>
      </c>
      <c r="M43" s="96">
        <f t="shared" si="9"/>
        <v>3326.6360000000004</v>
      </c>
      <c r="N43" s="94">
        <f t="shared" si="10"/>
        <v>830.73038239737309</v>
      </c>
      <c r="O43" s="97">
        <f t="shared" si="11"/>
        <v>4157.3663823973739</v>
      </c>
      <c r="P43" s="72">
        <v>27</v>
      </c>
      <c r="Q43" s="98">
        <f t="shared" si="12"/>
        <v>831.47327647947475</v>
      </c>
      <c r="R43" s="99"/>
    </row>
    <row r="44" spans="1:18" s="74" customFormat="1" ht="11.25" x14ac:dyDescent="0.2">
      <c r="A44" s="85">
        <v>2800</v>
      </c>
      <c r="B44" s="86">
        <v>40</v>
      </c>
      <c r="C44" s="87">
        <f t="shared" si="0"/>
        <v>284</v>
      </c>
      <c r="D44" s="88">
        <f t="shared" si="1"/>
        <v>35.5</v>
      </c>
      <c r="E44" s="89">
        <v>8</v>
      </c>
      <c r="F44" s="90">
        <f t="shared" si="2"/>
        <v>43.5</v>
      </c>
      <c r="G44" s="91">
        <f t="shared" si="3"/>
        <v>4.833333333333333</v>
      </c>
      <c r="H44" s="124">
        <f t="shared" si="4"/>
        <v>5</v>
      </c>
      <c r="I44" s="93">
        <f t="shared" si="5"/>
        <v>4.5</v>
      </c>
      <c r="J44" s="94">
        <f t="shared" si="6"/>
        <v>2048.7760000000003</v>
      </c>
      <c r="K44" s="96">
        <f t="shared" si="7"/>
        <v>450</v>
      </c>
      <c r="L44" s="95">
        <f t="shared" si="8"/>
        <v>900</v>
      </c>
      <c r="M44" s="96">
        <f t="shared" si="9"/>
        <v>3398.7760000000003</v>
      </c>
      <c r="N44" s="94">
        <f t="shared" si="10"/>
        <v>848.74524479474576</v>
      </c>
      <c r="O44" s="97">
        <f t="shared" si="11"/>
        <v>4247.5212447947461</v>
      </c>
      <c r="P44" s="72">
        <v>28</v>
      </c>
      <c r="Q44" s="98">
        <f t="shared" si="12"/>
        <v>849.50424895894923</v>
      </c>
      <c r="R44" s="99"/>
    </row>
    <row r="45" spans="1:18" s="74" customFormat="1" ht="11.25" x14ac:dyDescent="0.2">
      <c r="A45" s="85">
        <v>2900</v>
      </c>
      <c r="B45" s="86">
        <v>40</v>
      </c>
      <c r="C45" s="87">
        <f t="shared" si="0"/>
        <v>294</v>
      </c>
      <c r="D45" s="88">
        <f t="shared" si="1"/>
        <v>36.75</v>
      </c>
      <c r="E45" s="89">
        <v>8</v>
      </c>
      <c r="F45" s="90">
        <f t="shared" si="2"/>
        <v>44.75</v>
      </c>
      <c r="G45" s="91">
        <f t="shared" si="3"/>
        <v>4.9722222222222223</v>
      </c>
      <c r="H45" s="124">
        <f t="shared" si="4"/>
        <v>5</v>
      </c>
      <c r="I45" s="93">
        <f t="shared" si="5"/>
        <v>4.5</v>
      </c>
      <c r="J45" s="94">
        <f t="shared" si="6"/>
        <v>2120.9160000000002</v>
      </c>
      <c r="K45" s="96">
        <f t="shared" si="7"/>
        <v>450</v>
      </c>
      <c r="L45" s="95">
        <f t="shared" si="8"/>
        <v>900</v>
      </c>
      <c r="M45" s="96">
        <f t="shared" si="9"/>
        <v>3470.9160000000002</v>
      </c>
      <c r="N45" s="94">
        <f t="shared" si="10"/>
        <v>866.76010719211843</v>
      </c>
      <c r="O45" s="97">
        <f t="shared" si="11"/>
        <v>4337.6761071921183</v>
      </c>
      <c r="P45" s="72">
        <v>29</v>
      </c>
      <c r="Q45" s="98">
        <f t="shared" si="12"/>
        <v>867.5352214384236</v>
      </c>
      <c r="R45" s="99"/>
    </row>
    <row r="46" spans="1:18" s="74" customFormat="1" ht="11.25" x14ac:dyDescent="0.2">
      <c r="A46" s="85">
        <v>3000</v>
      </c>
      <c r="B46" s="86">
        <v>40</v>
      </c>
      <c r="C46" s="87">
        <f t="shared" si="0"/>
        <v>304</v>
      </c>
      <c r="D46" s="88">
        <f t="shared" si="1"/>
        <v>38</v>
      </c>
      <c r="E46" s="89">
        <v>8</v>
      </c>
      <c r="F46" s="90">
        <f t="shared" si="2"/>
        <v>46</v>
      </c>
      <c r="G46" s="91">
        <f t="shared" si="3"/>
        <v>5.1111111111111107</v>
      </c>
      <c r="H46" s="124">
        <f t="shared" si="4"/>
        <v>6</v>
      </c>
      <c r="I46" s="93">
        <f t="shared" si="5"/>
        <v>5.5</v>
      </c>
      <c r="J46" s="94">
        <f t="shared" si="6"/>
        <v>2193.056</v>
      </c>
      <c r="K46" s="96">
        <f t="shared" si="7"/>
        <v>540</v>
      </c>
      <c r="L46" s="95">
        <f t="shared" si="8"/>
        <v>1100</v>
      </c>
      <c r="M46" s="96">
        <f t="shared" si="9"/>
        <v>3833.056</v>
      </c>
      <c r="N46" s="94">
        <f t="shared" si="10"/>
        <v>957.19401720853887</v>
      </c>
      <c r="O46" s="97">
        <f t="shared" si="11"/>
        <v>4790.2500172085392</v>
      </c>
      <c r="P46" s="72">
        <v>30</v>
      </c>
      <c r="Q46" s="98">
        <f t="shared" si="12"/>
        <v>798.37500286808984</v>
      </c>
      <c r="R46" s="99"/>
    </row>
    <row r="47" spans="1:18" s="113" customFormat="1" ht="11.25" x14ac:dyDescent="0.2">
      <c r="D47" s="114"/>
      <c r="E47" s="115"/>
      <c r="F47" s="116"/>
      <c r="G47" s="117"/>
      <c r="H47" s="117"/>
      <c r="I47" s="117"/>
      <c r="J47" s="117"/>
      <c r="N47" s="74"/>
      <c r="O47" s="118"/>
      <c r="P47" s="119"/>
      <c r="Q47" s="120">
        <f>SUM(Q17:Q46)</f>
        <v>20681.100195608105</v>
      </c>
    </row>
    <row r="48" spans="1:18" x14ac:dyDescent="0.2">
      <c r="O48" s="121"/>
      <c r="Q48" s="120">
        <f>Q47/30</f>
        <v>689.37000652027018</v>
      </c>
    </row>
    <row r="53" s="42" customFormat="1" ht="11.25" x14ac:dyDescent="0.2"/>
    <row r="54" s="42" customFormat="1" ht="11.25" x14ac:dyDescent="0.2"/>
    <row r="55" s="42" customFormat="1" ht="11.25" x14ac:dyDescent="0.2"/>
    <row r="56" s="42" customFormat="1" ht="11.25" x14ac:dyDescent="0.2"/>
    <row r="57" s="42" customFormat="1" ht="11.25" x14ac:dyDescent="0.2"/>
    <row r="58" s="42" customFormat="1" ht="11.25" x14ac:dyDescent="0.2"/>
    <row r="60" s="42" customFormat="1" ht="11.25" x14ac:dyDescent="0.2"/>
  </sheetData>
  <mergeCells count="10">
    <mergeCell ref="A7:E7"/>
    <mergeCell ref="A8:E8"/>
    <mergeCell ref="A9:E9"/>
    <mergeCell ref="A10:E10"/>
    <mergeCell ref="A11:E11"/>
    <mergeCell ref="A1:O1"/>
    <mergeCell ref="A2:O2"/>
    <mergeCell ref="A4:F4"/>
    <mergeCell ref="A5:E5"/>
    <mergeCell ref="A6:E6"/>
  </mergeCells>
  <pageMargins left="0.51180555555555496" right="0.51180555555555496" top="0.78749999999999998" bottom="0.78749999999999998" header="0.51180555555555496" footer="0.51180555555555496"/>
  <pageSetup paperSize="9" scale="77" firstPageNumber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7"/>
  <sheetViews>
    <sheetView view="pageBreakPreview" topLeftCell="A13" zoomScaleNormal="90" workbookViewId="0">
      <selection activeCell="E18" sqref="E18:E43"/>
    </sheetView>
  </sheetViews>
  <sheetFormatPr defaultColWidth="8" defaultRowHeight="12.75" x14ac:dyDescent="0.2"/>
  <cols>
    <col min="1" max="1" width="18.33203125" style="42" customWidth="1"/>
    <col min="2" max="2" width="10.33203125" style="42" customWidth="1"/>
    <col min="3" max="3" width="9.1640625" style="42" customWidth="1"/>
    <col min="4" max="4" width="9.5" style="43" customWidth="1"/>
    <col min="5" max="5" width="9" style="44" customWidth="1"/>
    <col min="6" max="6" width="9.5" style="45" customWidth="1"/>
    <col min="7" max="7" width="9.5" style="46" customWidth="1"/>
    <col min="8" max="9" width="9.1640625" style="46" customWidth="1"/>
    <col min="10" max="10" width="12.5" style="46" customWidth="1"/>
    <col min="11" max="11" width="10.5" style="42" customWidth="1"/>
    <col min="12" max="12" width="11.5" style="42" customWidth="1"/>
    <col min="13" max="13" width="11.83203125" style="42" customWidth="1"/>
    <col min="14" max="14" width="10.83203125" style="47" customWidth="1"/>
    <col min="15" max="15" width="14.1640625" style="48" customWidth="1"/>
    <col min="16" max="16" width="6.1640625" style="49" customWidth="1"/>
    <col min="17" max="17" width="18.33203125" style="50" customWidth="1"/>
    <col min="18" max="1024" width="8" style="42"/>
  </cols>
  <sheetData>
    <row r="1" spans="1:17" x14ac:dyDescent="0.2">
      <c r="A1" s="216" t="s">
        <v>122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51"/>
      <c r="Q1" s="52"/>
    </row>
    <row r="2" spans="1:17" x14ac:dyDescent="0.2">
      <c r="A2" s="217" t="s">
        <v>158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51"/>
      <c r="Q2" s="52"/>
    </row>
    <row r="3" spans="1:17" s="55" customFormat="1" ht="11.25" x14ac:dyDescent="0.2">
      <c r="A3" s="218"/>
      <c r="B3" s="218"/>
      <c r="C3" s="218"/>
      <c r="D3" s="218"/>
      <c r="E3" s="218"/>
      <c r="F3" s="218"/>
      <c r="G3" s="54"/>
      <c r="H3" s="54"/>
      <c r="I3" s="54"/>
      <c r="J3" s="54"/>
      <c r="N3" s="47"/>
      <c r="O3" s="47"/>
      <c r="P3" s="56"/>
      <c r="Q3" s="57"/>
    </row>
    <row r="4" spans="1:17" x14ac:dyDescent="0.2">
      <c r="A4" s="220" t="s">
        <v>159</v>
      </c>
      <c r="B4" s="220"/>
      <c r="C4" s="220"/>
      <c r="D4" s="220"/>
      <c r="E4" s="220"/>
      <c r="F4" s="220"/>
    </row>
    <row r="5" spans="1:17" x14ac:dyDescent="0.2">
      <c r="A5" s="219" t="s">
        <v>125</v>
      </c>
      <c r="B5" s="219"/>
      <c r="C5" s="219"/>
      <c r="D5" s="219"/>
      <c r="E5" s="219"/>
      <c r="F5" s="58">
        <v>80</v>
      </c>
    </row>
    <row r="6" spans="1:17" x14ac:dyDescent="0.2">
      <c r="A6" s="219" t="s">
        <v>126</v>
      </c>
      <c r="B6" s="219"/>
      <c r="C6" s="219"/>
      <c r="D6" s="219"/>
      <c r="E6" s="219"/>
      <c r="F6" s="58">
        <v>4</v>
      </c>
    </row>
    <row r="7" spans="1:17" x14ac:dyDescent="0.2">
      <c r="A7" s="219" t="s">
        <v>127</v>
      </c>
      <c r="B7" s="219"/>
      <c r="C7" s="219"/>
      <c r="D7" s="219"/>
      <c r="E7" s="219"/>
      <c r="F7" s="58">
        <v>90</v>
      </c>
    </row>
    <row r="8" spans="1:17" x14ac:dyDescent="0.2">
      <c r="A8" s="219" t="s">
        <v>128</v>
      </c>
      <c r="B8" s="219"/>
      <c r="C8" s="219"/>
      <c r="D8" s="219"/>
      <c r="E8" s="219"/>
      <c r="F8" s="59" t="s">
        <v>129</v>
      </c>
    </row>
    <row r="9" spans="1:17" x14ac:dyDescent="0.2">
      <c r="A9" s="219" t="s">
        <v>130</v>
      </c>
      <c r="B9" s="219"/>
      <c r="C9" s="219"/>
      <c r="D9" s="219"/>
      <c r="E9" s="219"/>
      <c r="F9" s="60">
        <v>7.2140000000000004</v>
      </c>
    </row>
    <row r="10" spans="1:17" x14ac:dyDescent="0.2">
      <c r="A10" s="219" t="s">
        <v>131</v>
      </c>
      <c r="B10" s="219"/>
      <c r="C10" s="219"/>
      <c r="D10" s="219"/>
      <c r="E10" s="219"/>
      <c r="F10" s="58">
        <v>10</v>
      </c>
    </row>
    <row r="11" spans="1:17" s="55" customFormat="1" ht="11.25" x14ac:dyDescent="0.2">
      <c r="A11" s="219" t="s">
        <v>132</v>
      </c>
      <c r="B11" s="219"/>
      <c r="C11" s="219"/>
      <c r="D11" s="219"/>
      <c r="E11" s="219"/>
      <c r="F11" s="61">
        <v>200</v>
      </c>
      <c r="G11" s="54"/>
      <c r="H11" s="54"/>
      <c r="I11" s="54"/>
      <c r="J11" s="54"/>
      <c r="N11" s="47"/>
      <c r="O11" s="47"/>
      <c r="P11" s="56"/>
      <c r="Q11" s="57"/>
    </row>
    <row r="13" spans="1:17" x14ac:dyDescent="0.2">
      <c r="A13" s="63"/>
      <c r="B13" s="63"/>
      <c r="C13" s="63"/>
    </row>
    <row r="14" spans="1:17" x14ac:dyDescent="0.2">
      <c r="A14" s="63"/>
      <c r="B14" s="63"/>
      <c r="C14" s="63"/>
    </row>
    <row r="15" spans="1:17" s="74" customFormat="1" ht="112.5" x14ac:dyDescent="0.2">
      <c r="A15" s="64" t="s">
        <v>133</v>
      </c>
      <c r="B15" s="122" t="s">
        <v>156</v>
      </c>
      <c r="C15" s="65" t="s">
        <v>135</v>
      </c>
      <c r="D15" s="66" t="s">
        <v>136</v>
      </c>
      <c r="E15" s="123" t="s">
        <v>160</v>
      </c>
      <c r="F15" s="68" t="s">
        <v>138</v>
      </c>
      <c r="G15" s="69" t="s">
        <v>139</v>
      </c>
      <c r="H15" s="69" t="s">
        <v>140</v>
      </c>
      <c r="I15" s="69" t="s">
        <v>141</v>
      </c>
      <c r="J15" s="65" t="s">
        <v>142</v>
      </c>
      <c r="K15" s="65" t="s">
        <v>143</v>
      </c>
      <c r="L15" s="65" t="s">
        <v>144</v>
      </c>
      <c r="M15" s="65" t="s">
        <v>145</v>
      </c>
      <c r="N15" s="70" t="s">
        <v>146</v>
      </c>
      <c r="O15" s="71" t="s">
        <v>147</v>
      </c>
      <c r="P15" s="72"/>
      <c r="Q15" s="73" t="s">
        <v>148</v>
      </c>
    </row>
    <row r="16" spans="1:17" s="84" customFormat="1" ht="11.25" x14ac:dyDescent="0.2">
      <c r="A16" s="75" t="s">
        <v>149</v>
      </c>
      <c r="B16" s="76" t="s">
        <v>149</v>
      </c>
      <c r="C16" s="76" t="s">
        <v>150</v>
      </c>
      <c r="D16" s="77" t="s">
        <v>151</v>
      </c>
      <c r="E16" s="78" t="s">
        <v>151</v>
      </c>
      <c r="F16" s="79" t="s">
        <v>151</v>
      </c>
      <c r="G16" s="77" t="s">
        <v>152</v>
      </c>
      <c r="H16" s="77" t="s">
        <v>153</v>
      </c>
      <c r="I16" s="76" t="s">
        <v>153</v>
      </c>
      <c r="J16" s="76" t="s">
        <v>154</v>
      </c>
      <c r="K16" s="76" t="s">
        <v>154</v>
      </c>
      <c r="L16" s="76" t="s">
        <v>154</v>
      </c>
      <c r="M16" s="76" t="s">
        <v>154</v>
      </c>
      <c r="N16" s="80">
        <f>engeletr.arq!C128</f>
        <v>0.24972085385878495</v>
      </c>
      <c r="O16" s="81" t="s">
        <v>154</v>
      </c>
      <c r="P16" s="82"/>
      <c r="Q16" s="83"/>
    </row>
    <row r="17" spans="1:18" s="84" customFormat="1" ht="11.25" x14ac:dyDescent="0.2">
      <c r="A17" s="85">
        <v>200</v>
      </c>
      <c r="B17" s="125">
        <v>60</v>
      </c>
      <c r="C17" s="87">
        <f t="shared" ref="C17:C43" si="0">((A17+B17)/10)</f>
        <v>26</v>
      </c>
      <c r="D17" s="88">
        <f t="shared" ref="D17:D43" si="1">((A17+B17)/80)</f>
        <v>3.25</v>
      </c>
      <c r="E17" s="126">
        <v>12</v>
      </c>
      <c r="F17" s="90">
        <f t="shared" ref="F17:F43" si="2">D17+E17</f>
        <v>15.25</v>
      </c>
      <c r="G17" s="91">
        <f t="shared" ref="G17:G43" si="3">F17/9</f>
        <v>1.6944444444444444</v>
      </c>
      <c r="H17" s="124">
        <f t="shared" ref="H17:H43" si="4">ROUNDUP(G17,0)</f>
        <v>2</v>
      </c>
      <c r="I17" s="93">
        <f t="shared" ref="I17:I43" si="5">H17-0.5</f>
        <v>1.5</v>
      </c>
      <c r="J17" s="94">
        <f t="shared" ref="J17:J43" si="6">C17*$F$9</f>
        <v>187.56400000000002</v>
      </c>
      <c r="K17" s="95">
        <f t="shared" ref="K17:K43" si="7">H17*$F$7</f>
        <v>180</v>
      </c>
      <c r="L17" s="95">
        <f t="shared" ref="L17:L43" si="8">(I17*$F$11)*1</f>
        <v>300</v>
      </c>
      <c r="M17" s="96">
        <f t="shared" ref="M17:M43" si="9">J17+K17+L17</f>
        <v>667.56400000000008</v>
      </c>
      <c r="N17" s="94">
        <f t="shared" ref="N17:N43" si="10">M17*$N$16</f>
        <v>166.70465208538593</v>
      </c>
      <c r="O17" s="97">
        <f t="shared" ref="O17:O43" si="11">M17+N17</f>
        <v>834.26865208538607</v>
      </c>
      <c r="P17" s="72">
        <v>1</v>
      </c>
      <c r="Q17" s="98">
        <f t="shared" ref="Q17:Q43" si="12">O17/H17</f>
        <v>417.13432604269303</v>
      </c>
      <c r="R17" s="99"/>
    </row>
    <row r="18" spans="1:18" s="74" customFormat="1" ht="11.25" x14ac:dyDescent="0.2">
      <c r="A18" s="85">
        <v>300</v>
      </c>
      <c r="B18" s="125">
        <v>60</v>
      </c>
      <c r="C18" s="87">
        <f t="shared" si="0"/>
        <v>36</v>
      </c>
      <c r="D18" s="88">
        <f t="shared" si="1"/>
        <v>4.5</v>
      </c>
      <c r="E18" s="126">
        <v>12</v>
      </c>
      <c r="F18" s="90">
        <f t="shared" si="2"/>
        <v>16.5</v>
      </c>
      <c r="G18" s="91">
        <f t="shared" si="3"/>
        <v>1.8333333333333333</v>
      </c>
      <c r="H18" s="124">
        <f t="shared" si="4"/>
        <v>2</v>
      </c>
      <c r="I18" s="93">
        <f t="shared" si="5"/>
        <v>1.5</v>
      </c>
      <c r="J18" s="94">
        <f t="shared" si="6"/>
        <v>259.70400000000001</v>
      </c>
      <c r="K18" s="95">
        <f t="shared" si="7"/>
        <v>180</v>
      </c>
      <c r="L18" s="95">
        <f t="shared" si="8"/>
        <v>300</v>
      </c>
      <c r="M18" s="96">
        <f t="shared" si="9"/>
        <v>739.70399999999995</v>
      </c>
      <c r="N18" s="94">
        <f t="shared" si="10"/>
        <v>184.71951448275865</v>
      </c>
      <c r="O18" s="97">
        <f t="shared" si="11"/>
        <v>924.42351448275861</v>
      </c>
      <c r="P18" s="72">
        <v>2</v>
      </c>
      <c r="Q18" s="98">
        <f t="shared" si="12"/>
        <v>462.2117572413793</v>
      </c>
      <c r="R18" s="100"/>
    </row>
    <row r="19" spans="1:18" s="74" customFormat="1" ht="11.25" x14ac:dyDescent="0.2">
      <c r="A19" s="85">
        <v>400</v>
      </c>
      <c r="B19" s="125">
        <v>60</v>
      </c>
      <c r="C19" s="87">
        <f t="shared" si="0"/>
        <v>46</v>
      </c>
      <c r="D19" s="88">
        <f t="shared" si="1"/>
        <v>5.75</v>
      </c>
      <c r="E19" s="126">
        <v>12</v>
      </c>
      <c r="F19" s="90">
        <f t="shared" si="2"/>
        <v>17.75</v>
      </c>
      <c r="G19" s="91">
        <f t="shared" si="3"/>
        <v>1.9722222222222223</v>
      </c>
      <c r="H19" s="124">
        <f t="shared" si="4"/>
        <v>2</v>
      </c>
      <c r="I19" s="93">
        <f t="shared" si="5"/>
        <v>1.5</v>
      </c>
      <c r="J19" s="94">
        <f t="shared" si="6"/>
        <v>331.84399999999999</v>
      </c>
      <c r="K19" s="95">
        <f t="shared" si="7"/>
        <v>180</v>
      </c>
      <c r="L19" s="95">
        <f t="shared" si="8"/>
        <v>300</v>
      </c>
      <c r="M19" s="96">
        <f t="shared" si="9"/>
        <v>811.84400000000005</v>
      </c>
      <c r="N19" s="94">
        <f t="shared" si="10"/>
        <v>202.73437688013144</v>
      </c>
      <c r="O19" s="97">
        <f t="shared" si="11"/>
        <v>1014.5783768801315</v>
      </c>
      <c r="P19" s="72">
        <v>3</v>
      </c>
      <c r="Q19" s="98">
        <f t="shared" si="12"/>
        <v>507.28918844006574</v>
      </c>
      <c r="R19" s="99"/>
    </row>
    <row r="20" spans="1:18" s="74" customFormat="1" ht="11.25" x14ac:dyDescent="0.2">
      <c r="A20" s="85">
        <v>500</v>
      </c>
      <c r="B20" s="125">
        <v>60</v>
      </c>
      <c r="C20" s="87">
        <f t="shared" si="0"/>
        <v>56</v>
      </c>
      <c r="D20" s="88">
        <f t="shared" si="1"/>
        <v>7</v>
      </c>
      <c r="E20" s="126">
        <v>12</v>
      </c>
      <c r="F20" s="90">
        <f t="shared" si="2"/>
        <v>19</v>
      </c>
      <c r="G20" s="91">
        <f t="shared" si="3"/>
        <v>2.1111111111111112</v>
      </c>
      <c r="H20" s="124">
        <f t="shared" si="4"/>
        <v>3</v>
      </c>
      <c r="I20" s="93">
        <f t="shared" si="5"/>
        <v>2.5</v>
      </c>
      <c r="J20" s="94">
        <f t="shared" si="6"/>
        <v>403.98400000000004</v>
      </c>
      <c r="K20" s="95">
        <f t="shared" si="7"/>
        <v>270</v>
      </c>
      <c r="L20" s="95">
        <f t="shared" si="8"/>
        <v>500</v>
      </c>
      <c r="M20" s="96">
        <f t="shared" si="9"/>
        <v>1173.9839999999999</v>
      </c>
      <c r="N20" s="94">
        <f t="shared" si="10"/>
        <v>293.16828689655176</v>
      </c>
      <c r="O20" s="97">
        <f t="shared" si="11"/>
        <v>1467.1522868965517</v>
      </c>
      <c r="P20" s="72">
        <v>4</v>
      </c>
      <c r="Q20" s="98">
        <f t="shared" si="12"/>
        <v>489.05076229885054</v>
      </c>
      <c r="R20" s="99"/>
    </row>
    <row r="21" spans="1:18" s="74" customFormat="1" ht="11.25" x14ac:dyDescent="0.2">
      <c r="A21" s="85">
        <v>600</v>
      </c>
      <c r="B21" s="125">
        <v>60</v>
      </c>
      <c r="C21" s="87">
        <f t="shared" si="0"/>
        <v>66</v>
      </c>
      <c r="D21" s="88">
        <f t="shared" si="1"/>
        <v>8.25</v>
      </c>
      <c r="E21" s="126">
        <v>12</v>
      </c>
      <c r="F21" s="90">
        <f t="shared" si="2"/>
        <v>20.25</v>
      </c>
      <c r="G21" s="91">
        <f t="shared" si="3"/>
        <v>2.25</v>
      </c>
      <c r="H21" s="124">
        <f t="shared" si="4"/>
        <v>3</v>
      </c>
      <c r="I21" s="93">
        <f t="shared" si="5"/>
        <v>2.5</v>
      </c>
      <c r="J21" s="94">
        <f t="shared" si="6"/>
        <v>476.12400000000002</v>
      </c>
      <c r="K21" s="95">
        <f t="shared" si="7"/>
        <v>270</v>
      </c>
      <c r="L21" s="95">
        <f t="shared" si="8"/>
        <v>500</v>
      </c>
      <c r="M21" s="96">
        <f t="shared" si="9"/>
        <v>1246.124</v>
      </c>
      <c r="N21" s="94">
        <f t="shared" si="10"/>
        <v>311.18314929392454</v>
      </c>
      <c r="O21" s="97">
        <f t="shared" si="11"/>
        <v>1557.3071492939246</v>
      </c>
      <c r="P21" s="72">
        <v>5</v>
      </c>
      <c r="Q21" s="98">
        <f t="shared" si="12"/>
        <v>519.10238309797489</v>
      </c>
      <c r="R21" s="99"/>
    </row>
    <row r="22" spans="1:18" s="74" customFormat="1" ht="11.25" x14ac:dyDescent="0.2">
      <c r="A22" s="85">
        <v>700</v>
      </c>
      <c r="B22" s="125">
        <v>60</v>
      </c>
      <c r="C22" s="87">
        <f t="shared" si="0"/>
        <v>76</v>
      </c>
      <c r="D22" s="88">
        <f t="shared" si="1"/>
        <v>9.5</v>
      </c>
      <c r="E22" s="126">
        <v>12</v>
      </c>
      <c r="F22" s="90">
        <f t="shared" si="2"/>
        <v>21.5</v>
      </c>
      <c r="G22" s="91">
        <f t="shared" si="3"/>
        <v>2.3888888888888888</v>
      </c>
      <c r="H22" s="124">
        <f t="shared" si="4"/>
        <v>3</v>
      </c>
      <c r="I22" s="93">
        <f t="shared" si="5"/>
        <v>2.5</v>
      </c>
      <c r="J22" s="94">
        <f t="shared" si="6"/>
        <v>548.26400000000001</v>
      </c>
      <c r="K22" s="95">
        <f t="shared" si="7"/>
        <v>270</v>
      </c>
      <c r="L22" s="95">
        <f t="shared" si="8"/>
        <v>500</v>
      </c>
      <c r="M22" s="96">
        <f t="shared" si="9"/>
        <v>1318.2640000000001</v>
      </c>
      <c r="N22" s="94">
        <f t="shared" si="10"/>
        <v>329.19801169129732</v>
      </c>
      <c r="O22" s="97">
        <f t="shared" si="11"/>
        <v>1647.4620116912974</v>
      </c>
      <c r="P22" s="72">
        <v>6</v>
      </c>
      <c r="Q22" s="98">
        <f t="shared" si="12"/>
        <v>549.15400389709919</v>
      </c>
      <c r="R22" s="99"/>
    </row>
    <row r="23" spans="1:18" s="74" customFormat="1" ht="11.25" x14ac:dyDescent="0.2">
      <c r="A23" s="85">
        <v>800</v>
      </c>
      <c r="B23" s="125">
        <v>60</v>
      </c>
      <c r="C23" s="87">
        <f t="shared" si="0"/>
        <v>86</v>
      </c>
      <c r="D23" s="88">
        <f t="shared" si="1"/>
        <v>10.75</v>
      </c>
      <c r="E23" s="126">
        <v>12</v>
      </c>
      <c r="F23" s="90">
        <f t="shared" si="2"/>
        <v>22.75</v>
      </c>
      <c r="G23" s="91">
        <f t="shared" si="3"/>
        <v>2.5277777777777777</v>
      </c>
      <c r="H23" s="124">
        <f t="shared" si="4"/>
        <v>3</v>
      </c>
      <c r="I23" s="93">
        <f t="shared" si="5"/>
        <v>2.5</v>
      </c>
      <c r="J23" s="94">
        <f t="shared" si="6"/>
        <v>620.404</v>
      </c>
      <c r="K23" s="95">
        <f t="shared" si="7"/>
        <v>270</v>
      </c>
      <c r="L23" s="95">
        <f t="shared" si="8"/>
        <v>500</v>
      </c>
      <c r="M23" s="96">
        <f t="shared" si="9"/>
        <v>1390.404</v>
      </c>
      <c r="N23" s="94">
        <f t="shared" si="10"/>
        <v>347.21287408867005</v>
      </c>
      <c r="O23" s="97">
        <f t="shared" si="11"/>
        <v>1737.6168740886701</v>
      </c>
      <c r="P23" s="72">
        <v>7</v>
      </c>
      <c r="Q23" s="98">
        <f t="shared" si="12"/>
        <v>579.20562469622337</v>
      </c>
      <c r="R23" s="99"/>
    </row>
    <row r="24" spans="1:18" s="74" customFormat="1" ht="11.25" x14ac:dyDescent="0.2">
      <c r="A24" s="85">
        <v>900</v>
      </c>
      <c r="B24" s="125">
        <v>60</v>
      </c>
      <c r="C24" s="87">
        <f t="shared" si="0"/>
        <v>96</v>
      </c>
      <c r="D24" s="88">
        <f t="shared" si="1"/>
        <v>12</v>
      </c>
      <c r="E24" s="126">
        <v>12</v>
      </c>
      <c r="F24" s="90">
        <f t="shared" si="2"/>
        <v>24</v>
      </c>
      <c r="G24" s="91">
        <f t="shared" si="3"/>
        <v>2.6666666666666665</v>
      </c>
      <c r="H24" s="124">
        <f t="shared" si="4"/>
        <v>3</v>
      </c>
      <c r="I24" s="93">
        <f t="shared" si="5"/>
        <v>2.5</v>
      </c>
      <c r="J24" s="94">
        <f t="shared" si="6"/>
        <v>692.5440000000001</v>
      </c>
      <c r="K24" s="95">
        <f t="shared" si="7"/>
        <v>270</v>
      </c>
      <c r="L24" s="95">
        <f t="shared" si="8"/>
        <v>500</v>
      </c>
      <c r="M24" s="96">
        <f t="shared" si="9"/>
        <v>1462.5440000000001</v>
      </c>
      <c r="N24" s="94">
        <f t="shared" si="10"/>
        <v>365.22773648604283</v>
      </c>
      <c r="O24" s="97">
        <f t="shared" si="11"/>
        <v>1827.771736486043</v>
      </c>
      <c r="P24" s="72">
        <v>8</v>
      </c>
      <c r="Q24" s="98">
        <f t="shared" si="12"/>
        <v>609.25724549534766</v>
      </c>
      <c r="R24" s="99"/>
    </row>
    <row r="25" spans="1:18" s="74" customFormat="1" ht="11.25" x14ac:dyDescent="0.2">
      <c r="A25" s="85">
        <v>1000</v>
      </c>
      <c r="B25" s="125">
        <v>60</v>
      </c>
      <c r="C25" s="87">
        <f t="shared" si="0"/>
        <v>106</v>
      </c>
      <c r="D25" s="88">
        <f t="shared" si="1"/>
        <v>13.25</v>
      </c>
      <c r="E25" s="126">
        <v>12</v>
      </c>
      <c r="F25" s="90">
        <f t="shared" si="2"/>
        <v>25.25</v>
      </c>
      <c r="G25" s="91">
        <f t="shared" si="3"/>
        <v>2.8055555555555554</v>
      </c>
      <c r="H25" s="124">
        <f t="shared" si="4"/>
        <v>3</v>
      </c>
      <c r="I25" s="93">
        <f t="shared" si="5"/>
        <v>2.5</v>
      </c>
      <c r="J25" s="94">
        <f t="shared" si="6"/>
        <v>764.68400000000008</v>
      </c>
      <c r="K25" s="95">
        <f t="shared" si="7"/>
        <v>270</v>
      </c>
      <c r="L25" s="95">
        <f t="shared" si="8"/>
        <v>500</v>
      </c>
      <c r="M25" s="96">
        <f t="shared" si="9"/>
        <v>1534.6840000000002</v>
      </c>
      <c r="N25" s="94">
        <f t="shared" si="10"/>
        <v>383.24259888341555</v>
      </c>
      <c r="O25" s="97">
        <f t="shared" si="11"/>
        <v>1917.9265988834159</v>
      </c>
      <c r="P25" s="72">
        <v>9</v>
      </c>
      <c r="Q25" s="98">
        <f t="shared" si="12"/>
        <v>639.30886629447195</v>
      </c>
      <c r="R25" s="99"/>
    </row>
    <row r="26" spans="1:18" s="74" customFormat="1" ht="11.25" x14ac:dyDescent="0.2">
      <c r="A26" s="85">
        <v>1100</v>
      </c>
      <c r="B26" s="125">
        <v>60</v>
      </c>
      <c r="C26" s="87">
        <f t="shared" si="0"/>
        <v>116</v>
      </c>
      <c r="D26" s="88">
        <f t="shared" si="1"/>
        <v>14.5</v>
      </c>
      <c r="E26" s="126">
        <v>12</v>
      </c>
      <c r="F26" s="90">
        <f t="shared" si="2"/>
        <v>26.5</v>
      </c>
      <c r="G26" s="91">
        <f t="shared" si="3"/>
        <v>2.9444444444444446</v>
      </c>
      <c r="H26" s="124">
        <f t="shared" si="4"/>
        <v>3</v>
      </c>
      <c r="I26" s="93">
        <f t="shared" si="5"/>
        <v>2.5</v>
      </c>
      <c r="J26" s="94">
        <f t="shared" si="6"/>
        <v>836.82400000000007</v>
      </c>
      <c r="K26" s="95">
        <f t="shared" si="7"/>
        <v>270</v>
      </c>
      <c r="L26" s="95">
        <f t="shared" si="8"/>
        <v>500</v>
      </c>
      <c r="M26" s="96">
        <f t="shared" si="9"/>
        <v>1606.8240000000001</v>
      </c>
      <c r="N26" s="94">
        <f t="shared" si="10"/>
        <v>401.25746128078828</v>
      </c>
      <c r="O26" s="97">
        <f t="shared" si="11"/>
        <v>2008.0814612807883</v>
      </c>
      <c r="P26" s="72">
        <v>10</v>
      </c>
      <c r="Q26" s="98">
        <f t="shared" si="12"/>
        <v>669.36048709359613</v>
      </c>
      <c r="R26" s="99"/>
    </row>
    <row r="27" spans="1:18" s="74" customFormat="1" ht="11.25" x14ac:dyDescent="0.2">
      <c r="A27" s="85">
        <v>1200</v>
      </c>
      <c r="B27" s="125">
        <v>60</v>
      </c>
      <c r="C27" s="87">
        <f t="shared" si="0"/>
        <v>126</v>
      </c>
      <c r="D27" s="88">
        <f t="shared" si="1"/>
        <v>15.75</v>
      </c>
      <c r="E27" s="126">
        <v>12</v>
      </c>
      <c r="F27" s="90">
        <f t="shared" si="2"/>
        <v>27.75</v>
      </c>
      <c r="G27" s="91">
        <f t="shared" si="3"/>
        <v>3.0833333333333335</v>
      </c>
      <c r="H27" s="124">
        <f t="shared" si="4"/>
        <v>4</v>
      </c>
      <c r="I27" s="93">
        <f t="shared" si="5"/>
        <v>3.5</v>
      </c>
      <c r="J27" s="94">
        <f t="shared" si="6"/>
        <v>908.96400000000006</v>
      </c>
      <c r="K27" s="95">
        <f t="shared" si="7"/>
        <v>360</v>
      </c>
      <c r="L27" s="95">
        <f t="shared" si="8"/>
        <v>700</v>
      </c>
      <c r="M27" s="96">
        <f t="shared" si="9"/>
        <v>1968.9639999999999</v>
      </c>
      <c r="N27" s="94">
        <f t="shared" si="10"/>
        <v>491.69137129720866</v>
      </c>
      <c r="O27" s="97">
        <f t="shared" si="11"/>
        <v>2460.6553712972086</v>
      </c>
      <c r="P27" s="72">
        <v>11</v>
      </c>
      <c r="Q27" s="98">
        <f t="shared" si="12"/>
        <v>615.16384282430215</v>
      </c>
      <c r="R27" s="99"/>
    </row>
    <row r="28" spans="1:18" s="74" customFormat="1" ht="11.25" x14ac:dyDescent="0.2">
      <c r="A28" s="85">
        <v>1300</v>
      </c>
      <c r="B28" s="125">
        <v>60</v>
      </c>
      <c r="C28" s="87">
        <f t="shared" si="0"/>
        <v>136</v>
      </c>
      <c r="D28" s="88">
        <f t="shared" si="1"/>
        <v>17</v>
      </c>
      <c r="E28" s="126">
        <v>12</v>
      </c>
      <c r="F28" s="90">
        <f t="shared" si="2"/>
        <v>29</v>
      </c>
      <c r="G28" s="91">
        <f t="shared" si="3"/>
        <v>3.2222222222222223</v>
      </c>
      <c r="H28" s="124">
        <f t="shared" si="4"/>
        <v>4</v>
      </c>
      <c r="I28" s="93">
        <f t="shared" si="5"/>
        <v>3.5</v>
      </c>
      <c r="J28" s="94">
        <f t="shared" si="6"/>
        <v>981.10400000000004</v>
      </c>
      <c r="K28" s="95">
        <f t="shared" si="7"/>
        <v>360</v>
      </c>
      <c r="L28" s="95">
        <f t="shared" si="8"/>
        <v>700</v>
      </c>
      <c r="M28" s="96">
        <f t="shared" si="9"/>
        <v>2041.104</v>
      </c>
      <c r="N28" s="94">
        <f t="shared" si="10"/>
        <v>509.70623369458139</v>
      </c>
      <c r="O28" s="97">
        <f t="shared" si="11"/>
        <v>2550.8102336945813</v>
      </c>
      <c r="P28" s="72">
        <v>12</v>
      </c>
      <c r="Q28" s="98">
        <f t="shared" si="12"/>
        <v>637.70255842364531</v>
      </c>
      <c r="R28" s="99"/>
    </row>
    <row r="29" spans="1:18" s="74" customFormat="1" ht="11.25" x14ac:dyDescent="0.2">
      <c r="A29" s="85">
        <v>1400</v>
      </c>
      <c r="B29" s="125">
        <v>60</v>
      </c>
      <c r="C29" s="87">
        <f t="shared" si="0"/>
        <v>146</v>
      </c>
      <c r="D29" s="88">
        <f t="shared" si="1"/>
        <v>18.25</v>
      </c>
      <c r="E29" s="126">
        <v>12</v>
      </c>
      <c r="F29" s="90">
        <f t="shared" si="2"/>
        <v>30.25</v>
      </c>
      <c r="G29" s="91">
        <f t="shared" si="3"/>
        <v>3.3611111111111112</v>
      </c>
      <c r="H29" s="124">
        <f t="shared" si="4"/>
        <v>4</v>
      </c>
      <c r="I29" s="93">
        <f t="shared" si="5"/>
        <v>3.5</v>
      </c>
      <c r="J29" s="94">
        <f t="shared" si="6"/>
        <v>1053.2440000000001</v>
      </c>
      <c r="K29" s="95">
        <f t="shared" si="7"/>
        <v>360</v>
      </c>
      <c r="L29" s="95">
        <f t="shared" si="8"/>
        <v>700</v>
      </c>
      <c r="M29" s="96">
        <f t="shared" si="9"/>
        <v>2113.2440000000001</v>
      </c>
      <c r="N29" s="94">
        <f t="shared" si="10"/>
        <v>527.72109609195422</v>
      </c>
      <c r="O29" s="97">
        <f t="shared" si="11"/>
        <v>2640.9650960919544</v>
      </c>
      <c r="P29" s="72">
        <v>13</v>
      </c>
      <c r="Q29" s="98">
        <f t="shared" si="12"/>
        <v>660.24127402298859</v>
      </c>
      <c r="R29" s="99"/>
    </row>
    <row r="30" spans="1:18" s="74" customFormat="1" ht="11.25" x14ac:dyDescent="0.2">
      <c r="A30" s="85">
        <v>1500</v>
      </c>
      <c r="B30" s="125">
        <v>60</v>
      </c>
      <c r="C30" s="87">
        <f t="shared" si="0"/>
        <v>156</v>
      </c>
      <c r="D30" s="88">
        <f t="shared" si="1"/>
        <v>19.5</v>
      </c>
      <c r="E30" s="126">
        <v>12</v>
      </c>
      <c r="F30" s="90">
        <f t="shared" si="2"/>
        <v>31.5</v>
      </c>
      <c r="G30" s="91">
        <f t="shared" si="3"/>
        <v>3.5</v>
      </c>
      <c r="H30" s="124">
        <f t="shared" si="4"/>
        <v>4</v>
      </c>
      <c r="I30" s="93">
        <f t="shared" si="5"/>
        <v>3.5</v>
      </c>
      <c r="J30" s="94">
        <f t="shared" si="6"/>
        <v>1125.384</v>
      </c>
      <c r="K30" s="95">
        <f t="shared" si="7"/>
        <v>360</v>
      </c>
      <c r="L30" s="95">
        <f t="shared" si="8"/>
        <v>700</v>
      </c>
      <c r="M30" s="96">
        <f t="shared" si="9"/>
        <v>2185.384</v>
      </c>
      <c r="N30" s="94">
        <f t="shared" si="10"/>
        <v>545.73595848932689</v>
      </c>
      <c r="O30" s="97">
        <f t="shared" si="11"/>
        <v>2731.119958489327</v>
      </c>
      <c r="P30" s="72">
        <v>14</v>
      </c>
      <c r="Q30" s="98">
        <f t="shared" si="12"/>
        <v>682.77998962233175</v>
      </c>
      <c r="R30" s="99"/>
    </row>
    <row r="31" spans="1:18" s="74" customFormat="1" ht="11.25" x14ac:dyDescent="0.2">
      <c r="A31" s="85">
        <v>1600</v>
      </c>
      <c r="B31" s="125">
        <v>60</v>
      </c>
      <c r="C31" s="87">
        <f t="shared" si="0"/>
        <v>166</v>
      </c>
      <c r="D31" s="88">
        <f t="shared" si="1"/>
        <v>20.75</v>
      </c>
      <c r="E31" s="126">
        <v>12</v>
      </c>
      <c r="F31" s="90">
        <f t="shared" si="2"/>
        <v>32.75</v>
      </c>
      <c r="G31" s="91">
        <f t="shared" si="3"/>
        <v>3.6388888888888888</v>
      </c>
      <c r="H31" s="124">
        <f t="shared" si="4"/>
        <v>4</v>
      </c>
      <c r="I31" s="93">
        <f t="shared" si="5"/>
        <v>3.5</v>
      </c>
      <c r="J31" s="94">
        <f t="shared" si="6"/>
        <v>1197.5240000000001</v>
      </c>
      <c r="K31" s="95">
        <f t="shared" si="7"/>
        <v>360</v>
      </c>
      <c r="L31" s="95">
        <f t="shared" si="8"/>
        <v>700</v>
      </c>
      <c r="M31" s="96">
        <f t="shared" si="9"/>
        <v>2257.5240000000003</v>
      </c>
      <c r="N31" s="94">
        <f t="shared" si="10"/>
        <v>563.75082088669967</v>
      </c>
      <c r="O31" s="97">
        <f t="shared" si="11"/>
        <v>2821.2748208867001</v>
      </c>
      <c r="P31" s="72">
        <v>15</v>
      </c>
      <c r="Q31" s="98">
        <f t="shared" si="12"/>
        <v>705.31870522167503</v>
      </c>
      <c r="R31" s="99"/>
    </row>
    <row r="32" spans="1:18" s="74" customFormat="1" ht="11.25" x14ac:dyDescent="0.2">
      <c r="A32" s="85">
        <v>1700</v>
      </c>
      <c r="B32" s="125">
        <v>60</v>
      </c>
      <c r="C32" s="87">
        <f t="shared" si="0"/>
        <v>176</v>
      </c>
      <c r="D32" s="88">
        <f t="shared" si="1"/>
        <v>22</v>
      </c>
      <c r="E32" s="126">
        <v>12</v>
      </c>
      <c r="F32" s="90">
        <f t="shared" si="2"/>
        <v>34</v>
      </c>
      <c r="G32" s="91">
        <f t="shared" si="3"/>
        <v>3.7777777777777777</v>
      </c>
      <c r="H32" s="124">
        <f t="shared" si="4"/>
        <v>4</v>
      </c>
      <c r="I32" s="93">
        <f t="shared" si="5"/>
        <v>3.5</v>
      </c>
      <c r="J32" s="94">
        <f t="shared" si="6"/>
        <v>1269.664</v>
      </c>
      <c r="K32" s="95">
        <f t="shared" si="7"/>
        <v>360</v>
      </c>
      <c r="L32" s="95">
        <f t="shared" si="8"/>
        <v>700</v>
      </c>
      <c r="M32" s="96">
        <f t="shared" si="9"/>
        <v>2329.6639999999998</v>
      </c>
      <c r="N32" s="94">
        <f t="shared" si="10"/>
        <v>581.76568328407234</v>
      </c>
      <c r="O32" s="97">
        <f t="shared" si="11"/>
        <v>2911.4296832840719</v>
      </c>
      <c r="P32" s="72">
        <v>16</v>
      </c>
      <c r="Q32" s="98">
        <f t="shared" si="12"/>
        <v>727.85742082101797</v>
      </c>
      <c r="R32" s="99"/>
    </row>
    <row r="33" spans="1:18" s="74" customFormat="1" ht="11.25" x14ac:dyDescent="0.2">
      <c r="A33" s="85">
        <v>1800</v>
      </c>
      <c r="B33" s="125">
        <v>60</v>
      </c>
      <c r="C33" s="87">
        <f t="shared" si="0"/>
        <v>186</v>
      </c>
      <c r="D33" s="88">
        <f t="shared" si="1"/>
        <v>23.25</v>
      </c>
      <c r="E33" s="126">
        <v>12</v>
      </c>
      <c r="F33" s="90">
        <f t="shared" si="2"/>
        <v>35.25</v>
      </c>
      <c r="G33" s="91">
        <f t="shared" si="3"/>
        <v>3.9166666666666665</v>
      </c>
      <c r="H33" s="124">
        <f t="shared" si="4"/>
        <v>4</v>
      </c>
      <c r="I33" s="93">
        <f t="shared" si="5"/>
        <v>3.5</v>
      </c>
      <c r="J33" s="94">
        <f t="shared" si="6"/>
        <v>1341.8040000000001</v>
      </c>
      <c r="K33" s="95">
        <f t="shared" si="7"/>
        <v>360</v>
      </c>
      <c r="L33" s="95">
        <f t="shared" si="8"/>
        <v>700</v>
      </c>
      <c r="M33" s="96">
        <f t="shared" si="9"/>
        <v>2401.8040000000001</v>
      </c>
      <c r="N33" s="94">
        <f t="shared" si="10"/>
        <v>599.78054568144512</v>
      </c>
      <c r="O33" s="97">
        <f t="shared" si="11"/>
        <v>3001.584545681445</v>
      </c>
      <c r="P33" s="72">
        <v>17</v>
      </c>
      <c r="Q33" s="98">
        <f t="shared" si="12"/>
        <v>750.39613642036124</v>
      </c>
      <c r="R33" s="99"/>
    </row>
    <row r="34" spans="1:18" s="74" customFormat="1" ht="11.25" x14ac:dyDescent="0.2">
      <c r="A34" s="85">
        <v>1900</v>
      </c>
      <c r="B34" s="125">
        <v>60</v>
      </c>
      <c r="C34" s="87">
        <f t="shared" si="0"/>
        <v>196</v>
      </c>
      <c r="D34" s="88">
        <f t="shared" si="1"/>
        <v>24.5</v>
      </c>
      <c r="E34" s="126">
        <v>12</v>
      </c>
      <c r="F34" s="90">
        <f t="shared" si="2"/>
        <v>36.5</v>
      </c>
      <c r="G34" s="91">
        <f t="shared" si="3"/>
        <v>4.0555555555555554</v>
      </c>
      <c r="H34" s="124">
        <f t="shared" si="4"/>
        <v>5</v>
      </c>
      <c r="I34" s="93">
        <f t="shared" si="5"/>
        <v>4.5</v>
      </c>
      <c r="J34" s="94">
        <f t="shared" si="6"/>
        <v>1413.9440000000002</v>
      </c>
      <c r="K34" s="95">
        <f t="shared" si="7"/>
        <v>450</v>
      </c>
      <c r="L34" s="95">
        <f t="shared" si="8"/>
        <v>900</v>
      </c>
      <c r="M34" s="96">
        <f t="shared" si="9"/>
        <v>2763.9440000000004</v>
      </c>
      <c r="N34" s="94">
        <f t="shared" si="10"/>
        <v>690.21445569786567</v>
      </c>
      <c r="O34" s="97">
        <f t="shared" si="11"/>
        <v>3454.158455697866</v>
      </c>
      <c r="P34" s="72">
        <v>18</v>
      </c>
      <c r="Q34" s="98">
        <f t="shared" si="12"/>
        <v>690.83169113957319</v>
      </c>
      <c r="R34" s="99"/>
    </row>
    <row r="35" spans="1:18" s="74" customFormat="1" ht="11.25" x14ac:dyDescent="0.2">
      <c r="A35" s="85">
        <v>2000</v>
      </c>
      <c r="B35" s="125">
        <v>60</v>
      </c>
      <c r="C35" s="87">
        <f t="shared" si="0"/>
        <v>206</v>
      </c>
      <c r="D35" s="88">
        <f t="shared" si="1"/>
        <v>25.75</v>
      </c>
      <c r="E35" s="126">
        <v>12</v>
      </c>
      <c r="F35" s="90">
        <f t="shared" si="2"/>
        <v>37.75</v>
      </c>
      <c r="G35" s="91">
        <f t="shared" si="3"/>
        <v>4.1944444444444446</v>
      </c>
      <c r="H35" s="124">
        <f t="shared" si="4"/>
        <v>5</v>
      </c>
      <c r="I35" s="93">
        <f t="shared" si="5"/>
        <v>4.5</v>
      </c>
      <c r="J35" s="94">
        <f t="shared" si="6"/>
        <v>1486.0840000000001</v>
      </c>
      <c r="K35" s="95">
        <f t="shared" si="7"/>
        <v>450</v>
      </c>
      <c r="L35" s="95">
        <f t="shared" si="8"/>
        <v>900</v>
      </c>
      <c r="M35" s="96">
        <f t="shared" si="9"/>
        <v>2836.0839999999998</v>
      </c>
      <c r="N35" s="94">
        <f t="shared" si="10"/>
        <v>708.22931809523823</v>
      </c>
      <c r="O35" s="97">
        <f t="shared" si="11"/>
        <v>3544.3133180952382</v>
      </c>
      <c r="P35" s="72">
        <v>19</v>
      </c>
      <c r="Q35" s="98">
        <f t="shared" si="12"/>
        <v>708.86266361904768</v>
      </c>
      <c r="R35" s="99"/>
    </row>
    <row r="36" spans="1:18" s="74" customFormat="1" ht="11.25" x14ac:dyDescent="0.2">
      <c r="A36" s="85">
        <v>2100</v>
      </c>
      <c r="B36" s="125">
        <v>60</v>
      </c>
      <c r="C36" s="87">
        <f t="shared" si="0"/>
        <v>216</v>
      </c>
      <c r="D36" s="88">
        <f t="shared" si="1"/>
        <v>27</v>
      </c>
      <c r="E36" s="126">
        <v>12</v>
      </c>
      <c r="F36" s="90">
        <f t="shared" si="2"/>
        <v>39</v>
      </c>
      <c r="G36" s="91">
        <f t="shared" si="3"/>
        <v>4.333333333333333</v>
      </c>
      <c r="H36" s="124">
        <f t="shared" si="4"/>
        <v>5</v>
      </c>
      <c r="I36" s="93">
        <f t="shared" si="5"/>
        <v>4.5</v>
      </c>
      <c r="J36" s="94">
        <f t="shared" si="6"/>
        <v>1558.2240000000002</v>
      </c>
      <c r="K36" s="95">
        <f t="shared" si="7"/>
        <v>450</v>
      </c>
      <c r="L36" s="95">
        <f t="shared" si="8"/>
        <v>900</v>
      </c>
      <c r="M36" s="96">
        <f t="shared" si="9"/>
        <v>2908.2240000000002</v>
      </c>
      <c r="N36" s="94">
        <f t="shared" si="10"/>
        <v>726.24418049261101</v>
      </c>
      <c r="O36" s="97">
        <f t="shared" si="11"/>
        <v>3634.4681804926113</v>
      </c>
      <c r="P36" s="72">
        <v>20</v>
      </c>
      <c r="Q36" s="98">
        <f t="shared" si="12"/>
        <v>726.89363609852228</v>
      </c>
      <c r="R36" s="99"/>
    </row>
    <row r="37" spans="1:18" s="74" customFormat="1" ht="11.25" x14ac:dyDescent="0.2">
      <c r="A37" s="85">
        <v>2200</v>
      </c>
      <c r="B37" s="125">
        <v>60</v>
      </c>
      <c r="C37" s="87">
        <f t="shared" si="0"/>
        <v>226</v>
      </c>
      <c r="D37" s="88">
        <f t="shared" si="1"/>
        <v>28.25</v>
      </c>
      <c r="E37" s="126">
        <v>12</v>
      </c>
      <c r="F37" s="90">
        <f t="shared" si="2"/>
        <v>40.25</v>
      </c>
      <c r="G37" s="91">
        <f t="shared" si="3"/>
        <v>4.4722222222222223</v>
      </c>
      <c r="H37" s="124">
        <f t="shared" si="4"/>
        <v>5</v>
      </c>
      <c r="I37" s="93">
        <f t="shared" si="5"/>
        <v>4.5</v>
      </c>
      <c r="J37" s="94">
        <f t="shared" si="6"/>
        <v>1630.364</v>
      </c>
      <c r="K37" s="95">
        <f t="shared" si="7"/>
        <v>450</v>
      </c>
      <c r="L37" s="95">
        <f t="shared" si="8"/>
        <v>900</v>
      </c>
      <c r="M37" s="96">
        <f t="shared" si="9"/>
        <v>2980.364</v>
      </c>
      <c r="N37" s="94">
        <f t="shared" si="10"/>
        <v>744.25904288998379</v>
      </c>
      <c r="O37" s="97">
        <f t="shared" si="11"/>
        <v>3724.6230428899839</v>
      </c>
      <c r="P37" s="72">
        <v>21</v>
      </c>
      <c r="Q37" s="98">
        <f t="shared" si="12"/>
        <v>744.92460857799676</v>
      </c>
      <c r="R37" s="99"/>
    </row>
    <row r="38" spans="1:18" s="74" customFormat="1" ht="11.25" x14ac:dyDescent="0.2">
      <c r="A38" s="85">
        <v>2300</v>
      </c>
      <c r="B38" s="125">
        <v>60</v>
      </c>
      <c r="C38" s="87">
        <f t="shared" si="0"/>
        <v>236</v>
      </c>
      <c r="D38" s="88">
        <f t="shared" si="1"/>
        <v>29.5</v>
      </c>
      <c r="E38" s="126">
        <v>12</v>
      </c>
      <c r="F38" s="90">
        <f t="shared" si="2"/>
        <v>41.5</v>
      </c>
      <c r="G38" s="91">
        <f t="shared" si="3"/>
        <v>4.6111111111111107</v>
      </c>
      <c r="H38" s="124">
        <f t="shared" si="4"/>
        <v>5</v>
      </c>
      <c r="I38" s="93">
        <f t="shared" si="5"/>
        <v>4.5</v>
      </c>
      <c r="J38" s="94">
        <f t="shared" si="6"/>
        <v>1702.5040000000001</v>
      </c>
      <c r="K38" s="95">
        <f t="shared" si="7"/>
        <v>450</v>
      </c>
      <c r="L38" s="95">
        <f t="shared" si="8"/>
        <v>900</v>
      </c>
      <c r="M38" s="96">
        <f t="shared" si="9"/>
        <v>3052.5039999999999</v>
      </c>
      <c r="N38" s="94">
        <f t="shared" si="10"/>
        <v>762.27390528735646</v>
      </c>
      <c r="O38" s="97">
        <f t="shared" si="11"/>
        <v>3814.7779052873566</v>
      </c>
      <c r="P38" s="72">
        <v>22</v>
      </c>
      <c r="Q38" s="98">
        <f t="shared" si="12"/>
        <v>762.95558105747136</v>
      </c>
      <c r="R38" s="99"/>
    </row>
    <row r="39" spans="1:18" s="74" customFormat="1" ht="11.25" x14ac:dyDescent="0.2">
      <c r="A39" s="85">
        <v>2400</v>
      </c>
      <c r="B39" s="125">
        <v>60</v>
      </c>
      <c r="C39" s="87">
        <f t="shared" si="0"/>
        <v>246</v>
      </c>
      <c r="D39" s="88">
        <f t="shared" si="1"/>
        <v>30.75</v>
      </c>
      <c r="E39" s="126">
        <v>12</v>
      </c>
      <c r="F39" s="90">
        <f t="shared" si="2"/>
        <v>42.75</v>
      </c>
      <c r="G39" s="91">
        <f t="shared" si="3"/>
        <v>4.75</v>
      </c>
      <c r="H39" s="124">
        <f t="shared" si="4"/>
        <v>5</v>
      </c>
      <c r="I39" s="93">
        <f t="shared" si="5"/>
        <v>4.5</v>
      </c>
      <c r="J39" s="94">
        <f t="shared" si="6"/>
        <v>1774.644</v>
      </c>
      <c r="K39" s="95">
        <f t="shared" si="7"/>
        <v>450</v>
      </c>
      <c r="L39" s="95">
        <f t="shared" si="8"/>
        <v>900</v>
      </c>
      <c r="M39" s="96">
        <f t="shared" si="9"/>
        <v>3124.6440000000002</v>
      </c>
      <c r="N39" s="94">
        <f t="shared" si="10"/>
        <v>780.28876768472935</v>
      </c>
      <c r="O39" s="97">
        <f t="shared" si="11"/>
        <v>3904.9327676847297</v>
      </c>
      <c r="P39" s="72">
        <v>23</v>
      </c>
      <c r="Q39" s="98">
        <f t="shared" si="12"/>
        <v>780.98655353694596</v>
      </c>
      <c r="R39" s="99"/>
    </row>
    <row r="40" spans="1:18" s="74" customFormat="1" ht="11.25" x14ac:dyDescent="0.2">
      <c r="A40" s="85">
        <v>2500</v>
      </c>
      <c r="B40" s="125">
        <v>60</v>
      </c>
      <c r="C40" s="87">
        <f t="shared" si="0"/>
        <v>256</v>
      </c>
      <c r="D40" s="88">
        <f t="shared" si="1"/>
        <v>32</v>
      </c>
      <c r="E40" s="126">
        <v>12</v>
      </c>
      <c r="F40" s="90">
        <f t="shared" si="2"/>
        <v>44</v>
      </c>
      <c r="G40" s="91">
        <f t="shared" si="3"/>
        <v>4.8888888888888893</v>
      </c>
      <c r="H40" s="124">
        <f t="shared" si="4"/>
        <v>5</v>
      </c>
      <c r="I40" s="93">
        <f t="shared" si="5"/>
        <v>4.5</v>
      </c>
      <c r="J40" s="94">
        <f t="shared" si="6"/>
        <v>1846.7840000000001</v>
      </c>
      <c r="K40" s="95">
        <f t="shared" si="7"/>
        <v>450</v>
      </c>
      <c r="L40" s="95">
        <f t="shared" si="8"/>
        <v>900</v>
      </c>
      <c r="M40" s="96">
        <f t="shared" si="9"/>
        <v>3196.7840000000001</v>
      </c>
      <c r="N40" s="94">
        <f t="shared" si="10"/>
        <v>798.30363008210202</v>
      </c>
      <c r="O40" s="97">
        <f t="shared" si="11"/>
        <v>3995.0876300821019</v>
      </c>
      <c r="P40" s="72">
        <v>24</v>
      </c>
      <c r="Q40" s="98">
        <f t="shared" si="12"/>
        <v>799.01752601642033</v>
      </c>
      <c r="R40" s="99"/>
    </row>
    <row r="41" spans="1:18" s="74" customFormat="1" ht="11.25" x14ac:dyDescent="0.2">
      <c r="A41" s="85">
        <v>2600</v>
      </c>
      <c r="B41" s="125">
        <v>60</v>
      </c>
      <c r="C41" s="87">
        <f t="shared" si="0"/>
        <v>266</v>
      </c>
      <c r="D41" s="88">
        <f t="shared" si="1"/>
        <v>33.25</v>
      </c>
      <c r="E41" s="126">
        <v>12</v>
      </c>
      <c r="F41" s="90">
        <f t="shared" si="2"/>
        <v>45.25</v>
      </c>
      <c r="G41" s="91">
        <f t="shared" si="3"/>
        <v>5.0277777777777777</v>
      </c>
      <c r="H41" s="124">
        <f t="shared" si="4"/>
        <v>6</v>
      </c>
      <c r="I41" s="93">
        <f t="shared" si="5"/>
        <v>5.5</v>
      </c>
      <c r="J41" s="94">
        <f t="shared" si="6"/>
        <v>1918.9240000000002</v>
      </c>
      <c r="K41" s="95">
        <f t="shared" si="7"/>
        <v>540</v>
      </c>
      <c r="L41" s="95">
        <f t="shared" si="8"/>
        <v>1100</v>
      </c>
      <c r="M41" s="96">
        <f t="shared" si="9"/>
        <v>3558.924</v>
      </c>
      <c r="N41" s="94">
        <f t="shared" si="10"/>
        <v>888.73754009852235</v>
      </c>
      <c r="O41" s="97">
        <f t="shared" si="11"/>
        <v>4447.661540098522</v>
      </c>
      <c r="P41" s="72">
        <v>25</v>
      </c>
      <c r="Q41" s="98">
        <f t="shared" si="12"/>
        <v>741.2769233497537</v>
      </c>
      <c r="R41" s="99"/>
    </row>
    <row r="42" spans="1:18" s="74" customFormat="1" ht="11.25" x14ac:dyDescent="0.2">
      <c r="A42" s="85">
        <v>2700</v>
      </c>
      <c r="B42" s="125">
        <v>60</v>
      </c>
      <c r="C42" s="87">
        <f t="shared" si="0"/>
        <v>276</v>
      </c>
      <c r="D42" s="88">
        <f t="shared" si="1"/>
        <v>34.5</v>
      </c>
      <c r="E42" s="126">
        <v>12</v>
      </c>
      <c r="F42" s="90">
        <f t="shared" si="2"/>
        <v>46.5</v>
      </c>
      <c r="G42" s="91">
        <f t="shared" si="3"/>
        <v>5.166666666666667</v>
      </c>
      <c r="H42" s="124">
        <f t="shared" si="4"/>
        <v>6</v>
      </c>
      <c r="I42" s="93">
        <f t="shared" si="5"/>
        <v>5.5</v>
      </c>
      <c r="J42" s="94">
        <f t="shared" si="6"/>
        <v>1991.0640000000001</v>
      </c>
      <c r="K42" s="95">
        <f t="shared" si="7"/>
        <v>540</v>
      </c>
      <c r="L42" s="95">
        <f t="shared" si="8"/>
        <v>1100</v>
      </c>
      <c r="M42" s="96">
        <f t="shared" si="9"/>
        <v>3631.0640000000003</v>
      </c>
      <c r="N42" s="94">
        <f t="shared" si="10"/>
        <v>906.75240249589524</v>
      </c>
      <c r="O42" s="97">
        <f t="shared" si="11"/>
        <v>4537.8164024958951</v>
      </c>
      <c r="P42" s="72">
        <v>26</v>
      </c>
      <c r="Q42" s="98">
        <f t="shared" si="12"/>
        <v>756.30273374931585</v>
      </c>
      <c r="R42" s="99"/>
    </row>
    <row r="43" spans="1:18" s="74" customFormat="1" ht="11.25" x14ac:dyDescent="0.2">
      <c r="A43" s="85">
        <v>2800</v>
      </c>
      <c r="B43" s="125">
        <v>60</v>
      </c>
      <c r="C43" s="87">
        <f t="shared" si="0"/>
        <v>286</v>
      </c>
      <c r="D43" s="88">
        <f t="shared" si="1"/>
        <v>35.75</v>
      </c>
      <c r="E43" s="126">
        <v>12</v>
      </c>
      <c r="F43" s="90">
        <f t="shared" si="2"/>
        <v>47.75</v>
      </c>
      <c r="G43" s="91">
        <f t="shared" si="3"/>
        <v>5.3055555555555554</v>
      </c>
      <c r="H43" s="124">
        <f t="shared" si="4"/>
        <v>6</v>
      </c>
      <c r="I43" s="93">
        <f t="shared" si="5"/>
        <v>5.5</v>
      </c>
      <c r="J43" s="94">
        <f t="shared" si="6"/>
        <v>2063.2040000000002</v>
      </c>
      <c r="K43" s="95">
        <f t="shared" si="7"/>
        <v>540</v>
      </c>
      <c r="L43" s="95">
        <f t="shared" si="8"/>
        <v>1100</v>
      </c>
      <c r="M43" s="96">
        <f t="shared" si="9"/>
        <v>3703.2040000000002</v>
      </c>
      <c r="N43" s="94">
        <f t="shared" si="10"/>
        <v>924.76726489326791</v>
      </c>
      <c r="O43" s="97">
        <f t="shared" si="11"/>
        <v>4627.9712648932682</v>
      </c>
      <c r="P43" s="72">
        <v>27</v>
      </c>
      <c r="Q43" s="98">
        <f t="shared" si="12"/>
        <v>771.328544148878</v>
      </c>
      <c r="R43" s="99"/>
    </row>
    <row r="44" spans="1:18" s="113" customFormat="1" ht="11.25" x14ac:dyDescent="0.2">
      <c r="D44" s="114"/>
      <c r="E44" s="115"/>
      <c r="F44" s="116"/>
      <c r="G44" s="117"/>
      <c r="H44" s="117"/>
      <c r="I44" s="117"/>
      <c r="J44" s="117"/>
      <c r="N44" s="74"/>
      <c r="O44" s="118"/>
      <c r="P44" s="119"/>
      <c r="Q44" s="120">
        <f>SUM(Q17:Q43)</f>
        <v>17703.915033247944</v>
      </c>
    </row>
    <row r="45" spans="1:18" x14ac:dyDescent="0.2">
      <c r="O45" s="121"/>
      <c r="Q45" s="120">
        <f>Q44/27</f>
        <v>655.70055678696087</v>
      </c>
    </row>
    <row r="50" s="42" customFormat="1" ht="11.25" x14ac:dyDescent="0.2"/>
    <row r="51" s="42" customFormat="1" ht="11.25" x14ac:dyDescent="0.2"/>
    <row r="52" s="42" customFormat="1" ht="11.25" x14ac:dyDescent="0.2"/>
    <row r="53" s="42" customFormat="1" ht="11.25" x14ac:dyDescent="0.2"/>
    <row r="54" s="42" customFormat="1" ht="11.25" x14ac:dyDescent="0.2"/>
    <row r="55" s="42" customFormat="1" ht="11.25" x14ac:dyDescent="0.2"/>
    <row r="57" s="42" customFormat="1" ht="11.25" x14ac:dyDescent="0.2"/>
  </sheetData>
  <mergeCells count="11">
    <mergeCell ref="A11:E11"/>
    <mergeCell ref="A6:E6"/>
    <mergeCell ref="A7:E7"/>
    <mergeCell ref="A8:E8"/>
    <mergeCell ref="A9:E9"/>
    <mergeCell ref="A10:E10"/>
    <mergeCell ref="A1:O1"/>
    <mergeCell ref="A2:O2"/>
    <mergeCell ref="A3:F3"/>
    <mergeCell ref="A4:F4"/>
    <mergeCell ref="A5:E5"/>
  </mergeCells>
  <printOptions horizontalCentered="1" verticalCentered="1"/>
  <pageMargins left="0.78749999999999998" right="0.78749999999999998" top="0.98402777777777795" bottom="0.98402777777777795" header="0.51180555555555496" footer="0.51180555555555496"/>
  <pageSetup paperSize="9" scale="75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12</vt:i4>
      </vt:variant>
    </vt:vector>
  </HeadingPairs>
  <TitlesOfParts>
    <vt:vector size="25" baseType="lpstr">
      <vt:lpstr>RESUMO-proposta</vt:lpstr>
      <vt:lpstr>engeletr.arq</vt:lpstr>
      <vt:lpstr>engcivil.arq</vt:lpstr>
      <vt:lpstr>engmec</vt:lpstr>
      <vt:lpstr>EPIs</vt:lpstr>
      <vt:lpstr>Hora extra</vt:lpstr>
      <vt:lpstr>Deslocamento 1 município</vt:lpstr>
      <vt:lpstr>Deslocamento 2 municípios</vt:lpstr>
      <vt:lpstr>Deslocamento 3 municípios</vt:lpstr>
      <vt:lpstr>Deslocamento 4 municípios</vt:lpstr>
      <vt:lpstr>Deslocamento 5 municípios</vt:lpstr>
      <vt:lpstr>DESLOC.MÉDIO</vt:lpstr>
      <vt:lpstr>TOTAL DESLOCAMENTO</vt:lpstr>
      <vt:lpstr>DESLOC.MÉDIO!Area_de_impressao</vt:lpstr>
      <vt:lpstr>'Deslocamento 1 município'!Area_de_impressao</vt:lpstr>
      <vt:lpstr>'Deslocamento 2 municípios'!Area_de_impressao</vt:lpstr>
      <vt:lpstr>'Deslocamento 3 municípios'!Area_de_impressao</vt:lpstr>
      <vt:lpstr>'Deslocamento 4 municípios'!Area_de_impressao</vt:lpstr>
      <vt:lpstr>'Deslocamento 5 municípios'!Area_de_impressao</vt:lpstr>
      <vt:lpstr>engcivil.arq!Area_de_impressao</vt:lpstr>
      <vt:lpstr>engeletr.arq!Area_de_impressao</vt:lpstr>
      <vt:lpstr>engmec!Area_de_impressao</vt:lpstr>
      <vt:lpstr>'RESUMO-proposta'!Area_de_impressao</vt:lpstr>
      <vt:lpstr>'TOTAL DESLOCAMENTO'!Area_de_impressao</vt:lpstr>
      <vt:lpstr>'RESUMO-proposta'!Print_Area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Pregão Eletrônico 087-2014 - Contratação de empresa para prestação de serviços de engenharia e arquitetura.Repetição</dc:title>
  <dc:creator>092449090531</dc:creator>
  <cp:keywords>() () ()</cp:keywords>
  <cp:lastModifiedBy>Marconni Rodrigues de Alcantara Santos</cp:lastModifiedBy>
  <cp:revision>3</cp:revision>
  <cp:lastPrinted>2022-04-20T15:54:27Z</cp:lastPrinted>
  <dcterms:created xsi:type="dcterms:W3CDTF">2014-12-17T07:16:52Z</dcterms:created>
  <dcterms:modified xsi:type="dcterms:W3CDTF">2022-04-20T15:55:14Z</dcterms:modified>
  <dc:language>pt-BR</dc:language>
</cp:coreProperties>
</file>