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 activeTab="5"/>
  </bookViews>
  <sheets>
    <sheet name="MCam44" sheetId="2" r:id="rId1"/>
    <sheet name="MRep" sheetId="5" r:id="rId2"/>
    <sheet name="MCam44temp" sheetId="7" r:id="rId3"/>
    <sheet name="diárias" sheetId="8" r:id="rId4"/>
    <sheet name="AN e HE" sheetId="9" r:id="rId5"/>
    <sheet name="Total" sheetId="10" r:id="rId6"/>
  </sheets>
  <calcPr calcId="145621"/>
</workbook>
</file>

<file path=xl/calcChain.xml><?xml version="1.0" encoding="utf-8"?>
<calcChain xmlns="http://schemas.openxmlformats.org/spreadsheetml/2006/main">
  <c r="C27" i="9" l="1"/>
  <c r="B15" i="10" l="1"/>
  <c r="F32" i="10" l="1"/>
  <c r="F31" i="10"/>
  <c r="F30" i="10"/>
  <c r="H44" i="9"/>
  <c r="H43" i="9"/>
  <c r="G44" i="9"/>
  <c r="G43" i="9"/>
  <c r="F44" i="9"/>
  <c r="F43" i="9"/>
  <c r="D44" i="9"/>
  <c r="D43" i="9"/>
  <c r="C44" i="9"/>
  <c r="C43" i="9"/>
  <c r="H38" i="9"/>
  <c r="H37" i="9"/>
  <c r="G38" i="9"/>
  <c r="G37" i="9"/>
  <c r="F38" i="9"/>
  <c r="F37" i="9"/>
  <c r="D38" i="9"/>
  <c r="D37" i="9"/>
  <c r="C38" i="9"/>
  <c r="C37" i="9"/>
  <c r="H28" i="9"/>
  <c r="G28" i="9"/>
  <c r="F28" i="9"/>
  <c r="D28" i="9"/>
  <c r="D27" i="9"/>
  <c r="C28" i="9"/>
  <c r="D22" i="9"/>
  <c r="C22" i="9"/>
  <c r="H21" i="9"/>
  <c r="G21" i="9"/>
  <c r="F21" i="9"/>
  <c r="D21" i="9"/>
  <c r="C21" i="9"/>
  <c r="G13" i="9"/>
  <c r="F13" i="9"/>
  <c r="E13" i="9"/>
  <c r="G8" i="9"/>
  <c r="F8" i="9"/>
  <c r="E8" i="9"/>
  <c r="C13" i="9"/>
  <c r="C8" i="9"/>
  <c r="B13" i="9"/>
  <c r="B8" i="9"/>
  <c r="C5" i="8"/>
  <c r="D11" i="8"/>
  <c r="C11" i="8"/>
  <c r="B11" i="8"/>
  <c r="D6" i="8"/>
  <c r="C6" i="8"/>
  <c r="E6" i="8" s="1"/>
  <c r="D5" i="8"/>
  <c r="E5" i="8" s="1"/>
  <c r="C18" i="8" s="1"/>
  <c r="B9" i="10"/>
  <c r="B8" i="10"/>
  <c r="C13" i="8" l="1"/>
  <c r="C19" i="8"/>
  <c r="D13" i="8"/>
  <c r="B13" i="8"/>
  <c r="B12" i="8"/>
  <c r="E43" i="9"/>
  <c r="E44" i="9"/>
  <c r="G42" i="9"/>
  <c r="G36" i="9"/>
  <c r="F42" i="9"/>
  <c r="F36" i="9"/>
  <c r="H42" i="9"/>
  <c r="H36" i="9"/>
  <c r="H26" i="9"/>
  <c r="G26" i="9"/>
  <c r="F26" i="9"/>
  <c r="E22" i="9"/>
  <c r="H20" i="9"/>
  <c r="G20" i="9"/>
  <c r="F20" i="9"/>
  <c r="G12" i="9"/>
  <c r="F12" i="9"/>
  <c r="E12" i="9"/>
  <c r="G7" i="9"/>
  <c r="F7" i="9"/>
  <c r="E7" i="9"/>
  <c r="F22" i="9" l="1"/>
  <c r="G22" i="9"/>
  <c r="H22" i="9" s="1"/>
  <c r="C12" i="8"/>
  <c r="D12" i="8" s="1"/>
  <c r="E13" i="8"/>
  <c r="D19" i="8" s="1"/>
  <c r="E19" i="8" s="1"/>
  <c r="E37" i="9"/>
  <c r="E28" i="9"/>
  <c r="E27" i="9"/>
  <c r="D13" i="9"/>
  <c r="E21" i="9"/>
  <c r="D8" i="9"/>
  <c r="E38" i="9"/>
  <c r="F27" i="9" l="1"/>
  <c r="G27" i="9" s="1"/>
  <c r="H27" i="9" s="1"/>
  <c r="I27" i="9" s="1"/>
  <c r="C26" i="8"/>
  <c r="E26" i="8"/>
  <c r="E12" i="8"/>
  <c r="D18" i="8" s="1"/>
  <c r="E18" i="8" s="1"/>
  <c r="I43" i="9"/>
  <c r="I28" i="9"/>
  <c r="I22" i="9"/>
  <c r="E25" i="8" l="1"/>
  <c r="E27" i="8" s="1"/>
  <c r="C25" i="8"/>
  <c r="C27" i="8" s="1"/>
  <c r="F21" i="10" s="1"/>
  <c r="I37" i="9"/>
  <c r="I29" i="9"/>
  <c r="H8" i="9"/>
  <c r="F22" i="10" s="1"/>
  <c r="I21" i="9"/>
  <c r="I23" i="9" s="1"/>
  <c r="H13" i="9"/>
  <c r="I38" i="9"/>
  <c r="I44" i="9"/>
  <c r="I45" i="9" s="1"/>
  <c r="I39" i="9" l="1"/>
  <c r="I47" i="9" s="1"/>
  <c r="I31" i="9"/>
  <c r="F23" i="10" s="1"/>
  <c r="D129" i="5" l="1"/>
  <c r="D129" i="7"/>
  <c r="D129" i="2"/>
  <c r="D110" i="2" l="1"/>
  <c r="D110" i="7"/>
  <c r="C102" i="7"/>
  <c r="C101" i="7"/>
  <c r="C100" i="7"/>
  <c r="C99" i="7"/>
  <c r="C98" i="7"/>
  <c r="C88" i="7"/>
  <c r="C86" i="7"/>
  <c r="D86" i="7" s="1"/>
  <c r="D87" i="7" s="1"/>
  <c r="C85" i="7"/>
  <c r="C83" i="7"/>
  <c r="D154" i="7"/>
  <c r="D150" i="7"/>
  <c r="C137" i="7"/>
  <c r="C144" i="7" s="1"/>
  <c r="D88" i="7"/>
  <c r="D83" i="7"/>
  <c r="D64" i="7"/>
  <c r="D63" i="7"/>
  <c r="D68" i="7" s="1"/>
  <c r="D76" i="7" s="1"/>
  <c r="C57" i="7"/>
  <c r="C87" i="7" s="1"/>
  <c r="C42" i="7"/>
  <c r="C41" i="7"/>
  <c r="D41" i="7" s="1"/>
  <c r="D33" i="7"/>
  <c r="D154" i="5"/>
  <c r="C137" i="5"/>
  <c r="C144" i="5" s="1"/>
  <c r="C102" i="5"/>
  <c r="C101" i="5"/>
  <c r="C100" i="5"/>
  <c r="C99" i="5"/>
  <c r="C98" i="5"/>
  <c r="C88" i="5"/>
  <c r="C86" i="5"/>
  <c r="C85" i="5"/>
  <c r="C83" i="5"/>
  <c r="D64" i="5"/>
  <c r="D63" i="5"/>
  <c r="D68" i="5" s="1"/>
  <c r="D76" i="5" s="1"/>
  <c r="C57" i="5"/>
  <c r="C87" i="5" s="1"/>
  <c r="C42" i="5"/>
  <c r="C41" i="5"/>
  <c r="C43" i="5" s="1"/>
  <c r="D33" i="5"/>
  <c r="D150" i="5" s="1"/>
  <c r="D154" i="2"/>
  <c r="C137" i="2"/>
  <c r="C144" i="2" s="1"/>
  <c r="C102" i="2"/>
  <c r="C101" i="2"/>
  <c r="C100" i="2"/>
  <c r="C99" i="2"/>
  <c r="C98" i="2"/>
  <c r="C88" i="2"/>
  <c r="C86" i="2"/>
  <c r="C85" i="2"/>
  <c r="C83" i="2"/>
  <c r="D64" i="2"/>
  <c r="D63" i="2"/>
  <c r="D68" i="2" s="1"/>
  <c r="D76" i="2" s="1"/>
  <c r="C57" i="2"/>
  <c r="C87" i="2" s="1"/>
  <c r="C42" i="2"/>
  <c r="C41" i="2"/>
  <c r="C43" i="2" s="1"/>
  <c r="D33" i="2"/>
  <c r="D83" i="2" s="1"/>
  <c r="D43" i="7" l="1"/>
  <c r="C43" i="7"/>
  <c r="D84" i="7"/>
  <c r="D42" i="7"/>
  <c r="D50" i="7"/>
  <c r="D54" i="7"/>
  <c r="D85" i="7"/>
  <c r="D83" i="5"/>
  <c r="D84" i="5" s="1"/>
  <c r="D89" i="5" s="1"/>
  <c r="D152" i="5" s="1"/>
  <c r="D41" i="5"/>
  <c r="D86" i="5"/>
  <c r="D87" i="5" s="1"/>
  <c r="D88" i="5"/>
  <c r="D42" i="5"/>
  <c r="D85" i="5"/>
  <c r="D150" i="2"/>
  <c r="D41" i="2"/>
  <c r="D84" i="2"/>
  <c r="D86" i="2"/>
  <c r="D87" i="2" s="1"/>
  <c r="D88" i="2"/>
  <c r="D42" i="2"/>
  <c r="D85" i="2"/>
  <c r="D89" i="7" l="1"/>
  <c r="D152" i="7" s="1"/>
  <c r="D74" i="7"/>
  <c r="D55" i="7"/>
  <c r="D51" i="7"/>
  <c r="D53" i="7"/>
  <c r="D49" i="7"/>
  <c r="D52" i="7"/>
  <c r="D56" i="7"/>
  <c r="D89" i="2"/>
  <c r="D152" i="2" s="1"/>
  <c r="D43" i="5"/>
  <c r="D43" i="2"/>
  <c r="D57" i="7" l="1"/>
  <c r="D75" i="7" s="1"/>
  <c r="D77" i="7"/>
  <c r="D74" i="5"/>
  <c r="D51" i="5"/>
  <c r="D55" i="5"/>
  <c r="D56" i="5"/>
  <c r="D49" i="5"/>
  <c r="D53" i="5"/>
  <c r="D52" i="5"/>
  <c r="D50" i="5"/>
  <c r="D54" i="5"/>
  <c r="D74" i="2"/>
  <c r="D53" i="2"/>
  <c r="D49" i="2"/>
  <c r="D55" i="2"/>
  <c r="D51" i="2"/>
  <c r="D56" i="2"/>
  <c r="D50" i="2"/>
  <c r="D54" i="2"/>
  <c r="D52" i="2"/>
  <c r="D151" i="7" l="1"/>
  <c r="D103" i="7"/>
  <c r="D102" i="7"/>
  <c r="D100" i="7"/>
  <c r="D98" i="7"/>
  <c r="D101" i="7"/>
  <c r="D111" i="7"/>
  <c r="D118" i="7" s="1"/>
  <c r="D99" i="7"/>
  <c r="D57" i="5"/>
  <c r="D75" i="5" s="1"/>
  <c r="D77" i="5"/>
  <c r="D110" i="5" s="1"/>
  <c r="D57" i="2"/>
  <c r="D75" i="2" s="1"/>
  <c r="D77" i="2"/>
  <c r="D104" i="7" l="1"/>
  <c r="D117" i="7" s="1"/>
  <c r="D119" i="7" s="1"/>
  <c r="D153" i="7" s="1"/>
  <c r="D155" i="7" s="1"/>
  <c r="D102" i="5"/>
  <c r="D100" i="5"/>
  <c r="D98" i="5"/>
  <c r="D151" i="5"/>
  <c r="D103" i="5"/>
  <c r="D99" i="5"/>
  <c r="D111" i="5"/>
  <c r="D118" i="5" s="1"/>
  <c r="D101" i="5"/>
  <c r="D151" i="2"/>
  <c r="D102" i="2"/>
  <c r="D103" i="2"/>
  <c r="D101" i="2"/>
  <c r="D100" i="2"/>
  <c r="D111" i="2"/>
  <c r="D118" i="2" s="1"/>
  <c r="D99" i="2"/>
  <c r="D98" i="2"/>
  <c r="D135" i="7" l="1"/>
  <c r="D136" i="7" s="1"/>
  <c r="D137" i="7" s="1"/>
  <c r="D104" i="5"/>
  <c r="D117" i="5" s="1"/>
  <c r="D119" i="5" s="1"/>
  <c r="D153" i="5" s="1"/>
  <c r="D155" i="5" s="1"/>
  <c r="D104" i="2"/>
  <c r="D117" i="2" s="1"/>
  <c r="D119" i="2" s="1"/>
  <c r="D153" i="2" s="1"/>
  <c r="D155" i="2"/>
  <c r="D144" i="7" l="1"/>
  <c r="D156" i="7" s="1"/>
  <c r="D157" i="7" s="1"/>
  <c r="C15" i="10" s="1"/>
  <c r="D15" i="10" s="1"/>
  <c r="F15" i="10" s="1"/>
  <c r="F16" i="10" s="1"/>
  <c r="F29" i="10" s="1"/>
  <c r="D135" i="5"/>
  <c r="D135" i="2"/>
  <c r="D136" i="2" s="1"/>
  <c r="D137" i="2" s="1"/>
  <c r="D141" i="7" l="1"/>
  <c r="D140" i="7"/>
  <c r="D143" i="7"/>
  <c r="D139" i="7"/>
  <c r="D142" i="7"/>
  <c r="D138" i="7"/>
  <c r="D136" i="5"/>
  <c r="D137" i="5" s="1"/>
  <c r="D144" i="5" s="1"/>
  <c r="D156" i="5" s="1"/>
  <c r="D157" i="5" s="1"/>
  <c r="C9" i="10" s="1"/>
  <c r="D9" i="10" s="1"/>
  <c r="F9" i="10" s="1"/>
  <c r="D144" i="2"/>
  <c r="D156" i="2" s="1"/>
  <c r="D157" i="2" s="1"/>
  <c r="C8" i="10" s="1"/>
  <c r="D8" i="10" s="1"/>
  <c r="F8" i="10" s="1"/>
  <c r="F10" i="10" l="1"/>
  <c r="F20" i="10" s="1"/>
  <c r="F24" i="10" s="1"/>
  <c r="D142" i="5"/>
  <c r="D138" i="5"/>
  <c r="D141" i="5"/>
  <c r="D140" i="5"/>
  <c r="D143" i="5"/>
  <c r="D139" i="5"/>
  <c r="D141" i="2"/>
  <c r="D140" i="2"/>
  <c r="D143" i="2"/>
  <c r="D139" i="2"/>
  <c r="D142" i="2"/>
  <c r="D138" i="2"/>
  <c r="F28" i="10" l="1"/>
  <c r="F33" i="10" s="1"/>
  <c r="F35" i="10" s="1"/>
</calcChain>
</file>

<file path=xl/sharedStrings.xml><?xml version="1.0" encoding="utf-8"?>
<sst xmlns="http://schemas.openxmlformats.org/spreadsheetml/2006/main" count="717" uniqueCount="173">
  <si>
    <t>PLANILHA DE CUSTOS E FORMAÇÃO DE PREÇOS</t>
  </si>
  <si>
    <t>Módulo 1 - Composição da Remuneração</t>
  </si>
  <si>
    <t>Composição da Remuneração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</si>
  <si>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</si>
  <si>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</si>
  <si>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</si>
  <si>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</si>
  <si>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</si>
  <si>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</si>
  <si>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</si>
  <si>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</si>
  <si>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Adicional Noturno</t>
  </si>
  <si>
    <t>E</t>
  </si>
  <si>
    <t>Adicional de Hora Noturna Reduzida</t>
  </si>
  <si>
    <t>G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</si>
  <si>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</si>
  <si>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</si>
  <si>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</si>
  <si>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</si>
  <si>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</si>
  <si>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</si>
  <si>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</si>
  <si>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</si>
  <si>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</si>
  <si>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</si>
  <si>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</si>
  <si>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</si>
  <si>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</si>
  <si>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</si>
  <si>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</si>
  <si>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</si>
  <si>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</si>
  <si>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F</t>
  </si>
  <si>
    <t>SEBRAE</t>
  </si>
  <si>
    <t>INCRA</t>
  </si>
  <si>
    <t>H</t>
  </si>
  <si>
    <t>FGTS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</si>
  <si>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</si>
  <si>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</si>
  <si>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</si>
  <si>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</si>
  <si>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</si>
  <si>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</si>
  <si>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</si>
  <si>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</si>
  <si>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</si>
  <si>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</si>
  <si>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</si>
  <si>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</si>
  <si>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</si>
  <si>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</si>
  <si>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</si>
  <si>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Módulo 4 - Custo de Reposição do Profissional Ausente</t>
  </si>
  <si>
    <t>4.1</t>
  </si>
  <si>
    <t>4.2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</si>
  <si>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</si>
  <si>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</si>
  <si>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</si>
  <si>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</si>
  <si>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</si>
  <si>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</si>
  <si>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</si>
  <si>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</si>
  <si>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</si>
  <si>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</si>
  <si>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</si>
  <si>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Tributos</t>
  </si>
  <si>
    <t>C.1. Tributos Federais (especificar)</t>
  </si>
  <si>
    <t>C.2. Tributos Estaduais (especificar)</t>
  </si>
  <si>
    <t>C.3. Tributos Municipais (especificar)</t>
  </si>
  <si>
    <t>2. QUADRO-RESUMO DO CUSTO POR EMPREGADO</t>
  </si>
  <si>
    <t>Mão de obra vinculada à execução contratual (valor por empregado)</t>
  </si>
  <si>
    <t>Módulo 6 – Custos Indiretos, Tributos e Lucro</t>
  </si>
  <si>
    <t xml:space="preserve">Valor Total por Empregado 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</si>
  <si>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</si>
  <si>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</si>
  <si>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</si>
  <si>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</si>
  <si>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</si>
  <si>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Submódulo 4.1 - Substituto nas Ausências Legais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</si>
  <si>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</si>
  <si>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</si>
  <si>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</si>
  <si>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</si>
  <si>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</si>
  <si>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</si>
  <si>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</si>
  <si>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Submódulo 4.2 - Substituto na Intrajornada</t>
  </si>
  <si>
    <t>Substituto na Intrajornada</t>
  </si>
  <si>
    <t>Substituto na cobertura de Intervalo para repouso e alimentação</t>
  </si>
  <si>
    <t>Discriminação dos Serviços</t>
  </si>
  <si>
    <t>Data de apresentação da proposta</t>
  </si>
  <si>
    <t>Município</t>
  </si>
  <si>
    <t>Ano do Acordo, Convenção ou Dissídio Coletivo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</si>
  <si>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</si>
  <si>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</si>
  <si>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</si>
  <si>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</si>
  <si>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</si>
  <si>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Classificação Brasileira de Ocupações (CBO)</t>
  </si>
  <si>
    <t>Incidência de GPS, FGTS e outras contribuições sobre o Aviso Prévio Trabalhado</t>
  </si>
  <si>
    <t>Subtotal (A + B +C+ D + E)</t>
  </si>
  <si>
    <t>C.1.A. PIS</t>
  </si>
  <si>
    <t>C.1.B. COFINS</t>
  </si>
  <si>
    <t>C.3.A. ISS</t>
  </si>
  <si>
    <t>Benefício Assistência Médica</t>
  </si>
  <si>
    <t>Assistência Odontológica</t>
  </si>
  <si>
    <t>Seguro de Vida</t>
  </si>
  <si>
    <t>posto de serviço</t>
  </si>
  <si>
    <t>SEAC/BA x SINDILIMP/BA</t>
  </si>
  <si>
    <t>7825-10</t>
  </si>
  <si>
    <t>1 motorista por posto</t>
  </si>
  <si>
    <t>Motorista de caminhão 25m³</t>
  </si>
  <si>
    <t>Motorista de caminhão 25m3 com jornada semanal de 44 horas</t>
  </si>
  <si>
    <t>Motorista de Representação com jornada semanal de 44 horas</t>
  </si>
  <si>
    <t>Motorista de Veículo Leve Executivo</t>
  </si>
  <si>
    <t>Motorista de caminhão 25m3 com jornada semanal de 44 horas - acréscimo temporário - tópico 4.1.1 do TR</t>
  </si>
  <si>
    <t>Sem pernoite</t>
  </si>
  <si>
    <t>Com pernoite</t>
  </si>
  <si>
    <t>VALOR TOTAL ESTIMADO COM DESLOCAMENTOS (DIÁRIAS)</t>
  </si>
  <si>
    <t>Ano não eleitoral</t>
  </si>
  <si>
    <t>Em horas</t>
  </si>
  <si>
    <t>Em reais</t>
  </si>
  <si>
    <t>Encargos</t>
  </si>
  <si>
    <t>Subtotal</t>
  </si>
  <si>
    <t>Ano eleitoral</t>
  </si>
  <si>
    <r>
      <rPr>
        <u/>
        <sz val="10"/>
        <rFont val="Times New Roman"/>
        <family val="1"/>
      </rPr>
      <t>Sem</t>
    </r>
    <r>
      <rPr>
        <sz val="10"/>
        <rFont val="Times New Roman"/>
        <family val="1"/>
      </rPr>
      <t xml:space="preserve"> incidência de adicional noturno:</t>
    </r>
  </si>
  <si>
    <t>Seg. a Sáb.</t>
  </si>
  <si>
    <t>Dom/Feriados</t>
  </si>
  <si>
    <r>
      <rPr>
        <u/>
        <sz val="10"/>
        <rFont val="Times New Roman"/>
        <family val="1"/>
      </rPr>
      <t>Com</t>
    </r>
    <r>
      <rPr>
        <sz val="10"/>
        <rFont val="Times New Roman"/>
        <family val="1"/>
      </rPr>
      <t xml:space="preserve"> incidência de adicional noturno:</t>
    </r>
  </si>
  <si>
    <t>Total de horas extras em ano não eleitoral:</t>
  </si>
  <si>
    <t>Total de horas extras em ano eleitoral:</t>
  </si>
  <si>
    <t>Tópico 5.4-h) - Estimativas anuais com adicional noturno e serviço extraordinário</t>
  </si>
  <si>
    <t>I - Estimativa de adicional noturno:</t>
  </si>
  <si>
    <t>II - Estimativa de horas extraordinárias:</t>
  </si>
  <si>
    <t>INCIDÊNCIA DO MÓDULO 6 - CUSTOS INDIRETOS, LUCRO E TRIBUTOS</t>
  </si>
  <si>
    <t>QUADRO RESUMO - VALORES ESTIMADOS</t>
  </si>
  <si>
    <t>Postos regulares</t>
  </si>
  <si>
    <t>Valor total mensal - postos regulares</t>
  </si>
  <si>
    <t>item</t>
  </si>
  <si>
    <t>serviços</t>
  </si>
  <si>
    <t>valor por empregado</t>
  </si>
  <si>
    <t>valor mensal do posto</t>
  </si>
  <si>
    <t>quantidade de postos</t>
  </si>
  <si>
    <t>valor mensal</t>
  </si>
  <si>
    <t>CUSTO ESTIMADO COM DESLOCAMENTOS</t>
  </si>
  <si>
    <t>Tipo de diária</t>
  </si>
  <si>
    <t>Valor</t>
  </si>
  <si>
    <t>Descontos</t>
  </si>
  <si>
    <t>Vale transporte</t>
  </si>
  <si>
    <t>Vale alimentação</t>
  </si>
  <si>
    <t>Valor após desconto</t>
  </si>
  <si>
    <t>Custos indiretos</t>
  </si>
  <si>
    <t>Total da incidência do módulo 6</t>
  </si>
  <si>
    <t>Incidência do módulo 6</t>
  </si>
  <si>
    <t>Custo unitário da diária</t>
  </si>
  <si>
    <t>VALOR UNITÁRIO ESTIMADO COM DESLOCAMENTOS (DIÁRIAS)</t>
  </si>
  <si>
    <t>Quantidade</t>
  </si>
  <si>
    <t>Valor total</t>
  </si>
  <si>
    <t>Total anual</t>
  </si>
  <si>
    <t>ANO NÃO ELEITORAL</t>
  </si>
  <si>
    <t>Total ano não eleitoral</t>
  </si>
  <si>
    <t>ANO ELEITORAL</t>
  </si>
  <si>
    <t>Total ano eleitoral</t>
  </si>
  <si>
    <t>Valor total estimado - por 24 meses</t>
  </si>
  <si>
    <t>Diárias / Deslocamentos - tópico 5.3-k</t>
  </si>
  <si>
    <t>Adicional noturno - tópico 5.3-h</t>
  </si>
  <si>
    <t>Horas extras com e sem incidência de adicional noturno - tópico 5.3-h</t>
  </si>
  <si>
    <t>Valor anual - postos regulares - tópico 3</t>
  </si>
  <si>
    <t>Valor mensal - tópico 3 do TR</t>
  </si>
  <si>
    <t>Acréscimo temporário - valor mensal - tópico 4.1.1 do TR</t>
  </si>
  <si>
    <t>Valor total mensal - acréscimo temporário</t>
  </si>
  <si>
    <t>Acréscimo temporário de postos - julho a novembro - tópico 4.1.1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</si>
</sst>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  <numFmt numFmtId="165" formatCode="#,##0.00\ ;&quot; (&quot;#,##0.00\);&quot; -&quot;#\ ;@\ 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2"/>
      <color theme="0"/>
      <name val="Times New Roman"/>
      <family val="1"/>
    </font>
    <font>
      <b/>
      <i/>
      <sz val="10"/>
      <color theme="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u/>
      <sz val="10"/>
      <name val="Times New Roman"/>
      <family val="1"/>
    </font>
    <font>
      <b/>
      <sz val="10"/>
      <color theme="0"/>
      <name val="Times New Roman"/>
      <family val="1"/>
    </font>
    <font>
      <b/>
      <sz val="14"/>
      <color theme="0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</font>
    <font>
      <b/>
      <sz val="11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0" fontId="2" fillId="0" borderId="0"/>
    <xf numFmtId="164" fontId="3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165" fontId="3" fillId="0" borderId="0" applyFill="0" applyBorder="0" applyAlignment="0" applyProtection="0"/>
    <xf numFmtId="44" fontId="3" fillId="0" borderId="0" applyFont="0" applyFill="0" applyBorder="0" applyAlignment="0" applyProtection="0"/>
  </cellStyleXfs>
  <cellXfs count="120">
    <xf numFmtId="0" fontId="0" fillId="0" borderId="0" xfId="0"/>
    <xf numFmtId="0" fontId="4" fillId="0" borderId="0" xfId="0" applyFont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/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0" fontId="4" fillId="0" borderId="1" xfId="11" applyNumberFormat="1" applyFont="1" applyBorder="1" applyAlignment="1">
      <alignment horizontal="center" vertical="center" wrapText="1"/>
    </xf>
    <xf numFmtId="43" fontId="4" fillId="0" borderId="1" xfId="10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0" fontId="4" fillId="2" borderId="1" xfId="11" applyNumberFormat="1" applyFont="1" applyFill="1" applyBorder="1" applyAlignment="1">
      <alignment horizontal="center" vertical="center" wrapText="1"/>
    </xf>
    <xf numFmtId="43" fontId="4" fillId="0" borderId="0" xfId="0" applyNumberFormat="1" applyFont="1"/>
    <xf numFmtId="10" fontId="4" fillId="0" borderId="0" xfId="11" applyNumberFormat="1" applyFont="1"/>
    <xf numFmtId="43" fontId="5" fillId="0" borderId="1" xfId="0" applyNumberFormat="1" applyFont="1" applyBorder="1" applyAlignment="1">
      <alignment horizontal="center" vertical="center" wrapText="1"/>
    </xf>
    <xf numFmtId="43" fontId="5" fillId="0" borderId="1" xfId="10" applyFont="1" applyBorder="1" applyAlignment="1">
      <alignment horizontal="center" vertical="center" wrapText="1"/>
    </xf>
    <xf numFmtId="10" fontId="7" fillId="0" borderId="3" xfId="11" applyNumberFormat="1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vertical="center" wrapText="1"/>
    </xf>
    <xf numFmtId="43" fontId="5" fillId="0" borderId="1" xfId="0" applyNumberFormat="1" applyFont="1" applyBorder="1" applyAlignment="1">
      <alignment vertical="center" wrapText="1"/>
    </xf>
    <xf numFmtId="43" fontId="4" fillId="0" borderId="1" xfId="10" applyFont="1" applyBorder="1" applyAlignment="1">
      <alignment vertical="center" wrapText="1"/>
    </xf>
    <xf numFmtId="0" fontId="4" fillId="0" borderId="1" xfId="0" applyFont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4" fillId="0" borderId="3" xfId="0" applyFont="1" applyBorder="1" applyAlignment="1"/>
    <xf numFmtId="0" fontId="4" fillId="0" borderId="1" xfId="0" applyFont="1" applyBorder="1" applyAlignment="1"/>
    <xf numFmtId="0" fontId="4" fillId="0" borderId="2" xfId="0" applyFont="1" applyBorder="1"/>
    <xf numFmtId="0" fontId="4" fillId="0" borderId="1" xfId="0" applyFont="1" applyBorder="1" applyAlignment="1">
      <alignment horizontal="left" vertical="center" wrapText="1"/>
    </xf>
    <xf numFmtId="10" fontId="5" fillId="0" borderId="3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8" fillId="0" borderId="0" xfId="12" applyFont="1"/>
    <xf numFmtId="0" fontId="9" fillId="0" borderId="1" xfId="12" applyFont="1" applyBorder="1"/>
    <xf numFmtId="0" fontId="8" fillId="0" borderId="1" xfId="12" applyFont="1" applyBorder="1"/>
    <xf numFmtId="165" fontId="8" fillId="0" borderId="1" xfId="13" applyFont="1" applyBorder="1"/>
    <xf numFmtId="0" fontId="8" fillId="6" borderId="1" xfId="12" applyFont="1" applyFill="1" applyBorder="1" applyAlignment="1">
      <alignment horizontal="center"/>
    </xf>
    <xf numFmtId="10" fontId="8" fillId="6" borderId="1" xfId="12" applyNumberFormat="1" applyFont="1" applyFill="1" applyBorder="1"/>
    <xf numFmtId="165" fontId="8" fillId="0" borderId="1" xfId="12" applyNumberFormat="1" applyFont="1" applyBorder="1"/>
    <xf numFmtId="44" fontId="9" fillId="0" borderId="0" xfId="14" applyFont="1" applyBorder="1"/>
    <xf numFmtId="0" fontId="11" fillId="7" borderId="0" xfId="12" applyFont="1" applyFill="1" applyBorder="1" applyAlignment="1">
      <alignment horizontal="center"/>
    </xf>
    <xf numFmtId="165" fontId="9" fillId="0" borderId="1" xfId="13" applyFont="1" applyBorder="1"/>
    <xf numFmtId="0" fontId="13" fillId="0" borderId="0" xfId="0" applyFont="1"/>
    <xf numFmtId="43" fontId="13" fillId="0" borderId="0" xfId="10" applyFont="1"/>
    <xf numFmtId="43" fontId="8" fillId="0" borderId="0" xfId="10" applyFont="1"/>
    <xf numFmtId="0" fontId="8" fillId="0" borderId="0" xfId="12" applyFont="1" applyAlignment="1">
      <alignment wrapText="1"/>
    </xf>
    <xf numFmtId="43" fontId="8" fillId="0" borderId="1" xfId="10" applyFont="1" applyBorder="1" applyAlignment="1">
      <alignment wrapText="1"/>
    </xf>
    <xf numFmtId="0" fontId="8" fillId="0" borderId="1" xfId="12" applyFont="1" applyBorder="1" applyAlignment="1">
      <alignment wrapText="1"/>
    </xf>
    <xf numFmtId="43" fontId="8" fillId="0" borderId="1" xfId="12" applyNumberFormat="1" applyFont="1" applyBorder="1" applyAlignment="1">
      <alignment wrapText="1"/>
    </xf>
    <xf numFmtId="0" fontId="9" fillId="0" borderId="2" xfId="12" applyFont="1" applyBorder="1" applyAlignment="1">
      <alignment wrapText="1"/>
    </xf>
    <xf numFmtId="43" fontId="9" fillId="0" borderId="3" xfId="12" applyNumberFormat="1" applyFont="1" applyBorder="1" applyAlignment="1">
      <alignment wrapText="1"/>
    </xf>
    <xf numFmtId="0" fontId="9" fillId="0" borderId="1" xfId="12" applyFont="1" applyBorder="1" applyAlignment="1">
      <alignment horizontal="center" vertical="center" wrapText="1"/>
    </xf>
    <xf numFmtId="0" fontId="9" fillId="0" borderId="5" xfId="12" applyFont="1" applyBorder="1" applyAlignment="1">
      <alignment horizontal="center" vertical="center" wrapText="1"/>
    </xf>
    <xf numFmtId="0" fontId="9" fillId="0" borderId="1" xfId="12" applyFont="1" applyBorder="1" applyAlignment="1">
      <alignment vertical="center"/>
    </xf>
    <xf numFmtId="10" fontId="9" fillId="0" borderId="1" xfId="12" applyNumberFormat="1" applyFont="1" applyBorder="1" applyAlignment="1">
      <alignment wrapText="1"/>
    </xf>
    <xf numFmtId="43" fontId="9" fillId="0" borderId="1" xfId="10" applyFont="1" applyBorder="1" applyAlignment="1">
      <alignment wrapText="1"/>
    </xf>
    <xf numFmtId="43" fontId="9" fillId="0" borderId="1" xfId="12" applyNumberFormat="1" applyFont="1" applyBorder="1" applyAlignment="1">
      <alignment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43" fontId="13" fillId="0" borderId="1" xfId="10" applyFont="1" applyBorder="1" applyAlignment="1">
      <alignment vertical="center"/>
    </xf>
    <xf numFmtId="43" fontId="13" fillId="0" borderId="1" xfId="10" applyFont="1" applyBorder="1"/>
    <xf numFmtId="0" fontId="15" fillId="0" borderId="1" xfId="0" applyFont="1" applyBorder="1" applyAlignment="1">
      <alignment vertical="center"/>
    </xf>
    <xf numFmtId="0" fontId="15" fillId="0" borderId="1" xfId="0" applyFont="1" applyBorder="1" applyAlignment="1">
      <alignment horizontal="center" vertical="center" wrapText="1"/>
    </xf>
    <xf numFmtId="43" fontId="15" fillId="0" borderId="1" xfId="0" applyNumberFormat="1" applyFont="1" applyBorder="1"/>
    <xf numFmtId="43" fontId="15" fillId="0" borderId="1" xfId="10" applyFont="1" applyBorder="1"/>
    <xf numFmtId="43" fontId="15" fillId="3" borderId="0" xfId="0" applyNumberFormat="1" applyFont="1" applyFill="1" applyBorder="1"/>
    <xf numFmtId="44" fontId="9" fillId="0" borderId="0" xfId="14" applyFont="1" applyFill="1" applyBorder="1"/>
    <xf numFmtId="0" fontId="15" fillId="0" borderId="0" xfId="0" applyFont="1" applyBorder="1" applyAlignment="1">
      <alignment horizontal="center"/>
    </xf>
    <xf numFmtId="43" fontId="15" fillId="0" borderId="0" xfId="10" applyFont="1" applyBorder="1"/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5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center"/>
    </xf>
    <xf numFmtId="0" fontId="5" fillId="3" borderId="0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43" fontId="4" fillId="0" borderId="2" xfId="10" applyFont="1" applyBorder="1" applyAlignment="1">
      <alignment horizontal="center"/>
    </xf>
    <xf numFmtId="43" fontId="4" fillId="0" borderId="3" xfId="10" applyFont="1" applyBorder="1" applyAlignment="1">
      <alignment horizontal="center"/>
    </xf>
    <xf numFmtId="14" fontId="4" fillId="0" borderId="2" xfId="0" applyNumberFormat="1" applyFont="1" applyBorder="1" applyAlignment="1">
      <alignment horizontal="center"/>
    </xf>
    <xf numFmtId="0" fontId="11" fillId="4" borderId="0" xfId="12" applyFont="1" applyFill="1" applyAlignment="1">
      <alignment horizontal="center"/>
    </xf>
    <xf numFmtId="0" fontId="9" fillId="7" borderId="0" xfId="12" applyFont="1" applyFill="1" applyAlignment="1">
      <alignment horizontal="center"/>
    </xf>
    <xf numFmtId="0" fontId="8" fillId="0" borderId="1" xfId="12" applyFont="1" applyBorder="1"/>
    <xf numFmtId="0" fontId="9" fillId="0" borderId="1" xfId="12" applyFont="1" applyBorder="1" applyAlignment="1">
      <alignment horizontal="center" wrapText="1"/>
    </xf>
    <xf numFmtId="0" fontId="9" fillId="0" borderId="1" xfId="12" applyFont="1" applyBorder="1" applyAlignment="1">
      <alignment vertical="center"/>
    </xf>
    <xf numFmtId="0" fontId="9" fillId="0" borderId="5" xfId="12" applyFont="1" applyBorder="1" applyAlignment="1">
      <alignment horizontal="center" vertical="center" wrapText="1"/>
    </xf>
    <xf numFmtId="0" fontId="9" fillId="0" borderId="7" xfId="12" applyFont="1" applyBorder="1" applyAlignment="1">
      <alignment horizontal="center" vertical="center" wrapText="1"/>
    </xf>
    <xf numFmtId="0" fontId="12" fillId="4" borderId="0" xfId="12" applyFont="1" applyFill="1" applyAlignment="1">
      <alignment horizontal="center"/>
    </xf>
    <xf numFmtId="0" fontId="8" fillId="6" borderId="1" xfId="12" applyFont="1" applyFill="1" applyBorder="1" applyAlignment="1">
      <alignment horizontal="center" vertical="center"/>
    </xf>
    <xf numFmtId="0" fontId="9" fillId="6" borderId="1" xfId="12" applyFont="1" applyFill="1" applyBorder="1" applyAlignment="1">
      <alignment horizontal="center" vertical="center"/>
    </xf>
    <xf numFmtId="0" fontId="9" fillId="6" borderId="5" xfId="12" applyFont="1" applyFill="1" applyBorder="1" applyAlignment="1">
      <alignment horizontal="center" vertical="center"/>
    </xf>
    <xf numFmtId="0" fontId="9" fillId="6" borderId="7" xfId="12" applyFont="1" applyFill="1" applyBorder="1" applyAlignment="1">
      <alignment horizontal="center" vertical="center"/>
    </xf>
    <xf numFmtId="0" fontId="9" fillId="7" borderId="0" xfId="12" applyFont="1" applyFill="1" applyBorder="1" applyAlignment="1">
      <alignment horizontal="center"/>
    </xf>
    <xf numFmtId="0" fontId="9" fillId="0" borderId="0" xfId="12" applyFont="1" applyFill="1" applyBorder="1" applyAlignment="1">
      <alignment horizontal="right"/>
    </xf>
    <xf numFmtId="0" fontId="9" fillId="0" borderId="0" xfId="12" applyFont="1" applyBorder="1" applyAlignment="1">
      <alignment horizontal="right"/>
    </xf>
    <xf numFmtId="0" fontId="9" fillId="7" borderId="6" xfId="12" applyFont="1" applyFill="1" applyBorder="1" applyAlignment="1">
      <alignment horizontal="center"/>
    </xf>
    <xf numFmtId="0" fontId="14" fillId="8" borderId="0" xfId="12" applyFont="1" applyFill="1" applyAlignment="1">
      <alignment horizontal="center"/>
    </xf>
    <xf numFmtId="0" fontId="13" fillId="0" borderId="1" xfId="0" applyFont="1" applyBorder="1"/>
    <xf numFmtId="0" fontId="12" fillId="4" borderId="0" xfId="0" applyFont="1" applyFill="1" applyAlignment="1">
      <alignment horizontal="center"/>
    </xf>
    <xf numFmtId="0" fontId="15" fillId="7" borderId="0" xfId="0" applyFont="1" applyFill="1" applyAlignment="1">
      <alignment horizontal="center"/>
    </xf>
    <xf numFmtId="0" fontId="15" fillId="6" borderId="0" xfId="0" applyFont="1" applyFill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5" fillId="3" borderId="0" xfId="0" applyFont="1" applyFill="1" applyBorder="1" applyAlignment="1">
      <alignment horizontal="center"/>
    </xf>
  </cellXfs>
  <cellStyles count="15">
    <cellStyle name="Moeda 2" xfId="14"/>
    <cellStyle name="Normal" xfId="0" builtinId="0"/>
    <cellStyle name="Normal 2" xfId="1"/>
    <cellStyle name="Normal 3" xfId="12"/>
    <cellStyle name="Porcentagem" xfId="11" builtinId="5"/>
    <cellStyle name="Vírgula" xfId="10" builtinId="3"/>
    <cellStyle name="Vírgula 2" xfId="2"/>
    <cellStyle name="Vírgula 3" xfId="3"/>
    <cellStyle name="Vírgula 3 2" xfId="4"/>
    <cellStyle name="Vírgula 4" xfId="5"/>
    <cellStyle name="Vírgula 4 2" xfId="6"/>
    <cellStyle name="Vírgula 5" xfId="7"/>
    <cellStyle name="Vírgula 5 2" xfId="8"/>
    <cellStyle name="Vírgula 6" xfId="9"/>
    <cellStyle name="Vírgula 7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topLeftCell="A10" zoomScale="115" zoomScaleNormal="115" workbookViewId="0">
      <selection activeCell="D126" sqref="D126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77" t="s">
        <v>0</v>
      </c>
      <c r="B1" s="77"/>
      <c r="C1" s="77"/>
      <c r="D1" s="77"/>
    </row>
    <row r="2" spans="1:4" ht="15.75" x14ac:dyDescent="0.25">
      <c r="A2" s="22"/>
      <c r="B2" s="22"/>
      <c r="C2" s="22"/>
      <c r="D2" s="22"/>
    </row>
    <row r="3" spans="1:4" x14ac:dyDescent="0.2">
      <c r="A3" s="79" t="s">
        <v>90</v>
      </c>
      <c r="B3" s="79"/>
      <c r="C3" s="79"/>
      <c r="D3" s="79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25" t="s">
        <v>91</v>
      </c>
      <c r="C5" s="23"/>
      <c r="D5" s="24"/>
    </row>
    <row r="6" spans="1:4" x14ac:dyDescent="0.2">
      <c r="A6" s="5" t="s">
        <v>6</v>
      </c>
      <c r="B6" s="25" t="s">
        <v>92</v>
      </c>
      <c r="C6" s="23"/>
      <c r="D6" s="24"/>
    </row>
    <row r="7" spans="1:4" x14ac:dyDescent="0.2">
      <c r="A7" s="5" t="s">
        <v>8</v>
      </c>
      <c r="B7" s="25" t="s">
        <v>93</v>
      </c>
      <c r="C7" s="23"/>
      <c r="D7" s="24"/>
    </row>
    <row r="8" spans="1:4" x14ac:dyDescent="0.2">
      <c r="A8" s="5" t="s">
        <v>10</v>
      </c>
      <c r="B8" s="25" t="s">
        <v>94</v>
      </c>
      <c r="C8" s="23"/>
      <c r="D8" s="21">
        <v>24</v>
      </c>
    </row>
    <row r="10" spans="1:4" x14ac:dyDescent="0.2">
      <c r="A10" s="79" t="s">
        <v>95</v>
      </c>
      <c r="B10" s="79"/>
      <c r="C10" s="79"/>
      <c r="D10" s="79"/>
    </row>
    <row r="11" spans="1:4" x14ac:dyDescent="0.2">
      <c r="A11" s="2"/>
      <c r="B11" s="2"/>
      <c r="C11" s="2"/>
      <c r="D11" s="2"/>
    </row>
    <row r="12" spans="1:4" ht="38.25" x14ac:dyDescent="0.2">
      <c r="A12" s="86" t="s">
        <v>96</v>
      </c>
      <c r="B12" s="86"/>
      <c r="C12" s="28" t="s">
        <v>97</v>
      </c>
      <c r="D12" s="26" t="s">
        <v>98</v>
      </c>
    </row>
    <row r="13" spans="1:4" x14ac:dyDescent="0.2">
      <c r="A13" s="87" t="s">
        <v>113</v>
      </c>
      <c r="B13" s="88"/>
      <c r="C13" s="21" t="s">
        <v>108</v>
      </c>
      <c r="D13" s="32" t="s">
        <v>111</v>
      </c>
    </row>
    <row r="15" spans="1:4" x14ac:dyDescent="0.2">
      <c r="A15" s="79" t="s">
        <v>74</v>
      </c>
      <c r="B15" s="79"/>
      <c r="C15" s="79"/>
      <c r="D15" s="79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89" t="s">
        <v>112</v>
      </c>
      <c r="D17" s="90"/>
    </row>
    <row r="18" spans="1:4" x14ac:dyDescent="0.2">
      <c r="A18" s="5">
        <v>2</v>
      </c>
      <c r="B18" s="5" t="s">
        <v>99</v>
      </c>
      <c r="C18" s="89" t="s">
        <v>110</v>
      </c>
      <c r="D18" s="90"/>
    </row>
    <row r="19" spans="1:4" x14ac:dyDescent="0.2">
      <c r="A19" s="5">
        <v>3</v>
      </c>
      <c r="B19" s="5" t="s">
        <v>76</v>
      </c>
      <c r="C19" s="91">
        <v>1774.94</v>
      </c>
      <c r="D19" s="92"/>
    </row>
    <row r="20" spans="1:4" x14ac:dyDescent="0.2">
      <c r="A20" s="5">
        <v>4</v>
      </c>
      <c r="B20" s="5" t="s">
        <v>77</v>
      </c>
      <c r="C20" s="89" t="s">
        <v>109</v>
      </c>
      <c r="D20" s="90"/>
    </row>
    <row r="21" spans="1:4" x14ac:dyDescent="0.2">
      <c r="A21" s="5">
        <v>5</v>
      </c>
      <c r="B21" s="5" t="s">
        <v>78</v>
      </c>
      <c r="C21" s="93">
        <v>43101</v>
      </c>
      <c r="D21" s="90"/>
    </row>
    <row r="23" spans="1:4" x14ac:dyDescent="0.2">
      <c r="A23" s="79" t="s">
        <v>1</v>
      </c>
      <c r="B23" s="79"/>
      <c r="C23" s="79"/>
      <c r="D23" s="79"/>
    </row>
    <row r="25" spans="1:4" x14ac:dyDescent="0.2">
      <c r="A25" s="29">
        <v>1</v>
      </c>
      <c r="B25" s="73" t="s">
        <v>2</v>
      </c>
      <c r="C25" s="73"/>
      <c r="D25" s="29" t="s">
        <v>3</v>
      </c>
    </row>
    <row r="26" spans="1:4" x14ac:dyDescent="0.2">
      <c r="A26" s="28" t="s">
        <v>4</v>
      </c>
      <c r="B26" s="72" t="s">
        <v>5</v>
      </c>
      <c r="C26" s="72"/>
      <c r="D26" s="9">
        <v>2544.19</v>
      </c>
    </row>
    <row r="27" spans="1:4" x14ac:dyDescent="0.2">
      <c r="A27" s="28" t="s">
        <v>6</v>
      </c>
      <c r="B27" s="72" t="s">
        <v>7</v>
      </c>
      <c r="C27" s="72"/>
      <c r="D27" s="9"/>
    </row>
    <row r="28" spans="1:4" x14ac:dyDescent="0.2">
      <c r="A28" s="28" t="s">
        <v>8</v>
      </c>
      <c r="B28" s="72" t="s">
        <v>9</v>
      </c>
      <c r="C28" s="72"/>
      <c r="D28" s="9"/>
    </row>
    <row r="29" spans="1:4" x14ac:dyDescent="0.2">
      <c r="A29" s="28" t="s">
        <v>10</v>
      </c>
      <c r="B29" s="72" t="s">
        <v>11</v>
      </c>
      <c r="C29" s="72"/>
      <c r="D29" s="9"/>
    </row>
    <row r="30" spans="1:4" x14ac:dyDescent="0.2">
      <c r="A30" s="28" t="s">
        <v>12</v>
      </c>
      <c r="B30" s="72" t="s">
        <v>13</v>
      </c>
      <c r="C30" s="72"/>
      <c r="D30" s="9"/>
    </row>
    <row r="31" spans="1:4" x14ac:dyDescent="0.2">
      <c r="A31" s="28"/>
      <c r="B31" s="72"/>
      <c r="C31" s="72"/>
      <c r="D31" s="9"/>
    </row>
    <row r="32" spans="1:4" x14ac:dyDescent="0.2">
      <c r="A32" s="28" t="s">
        <v>14</v>
      </c>
      <c r="B32" s="72" t="s">
        <v>15</v>
      </c>
      <c r="C32" s="72"/>
      <c r="D32" s="9"/>
    </row>
    <row r="33" spans="1:4" x14ac:dyDescent="0.2">
      <c r="A33" s="73" t="s">
        <v>16</v>
      </c>
      <c r="B33" s="73"/>
      <c r="C33" s="73"/>
      <c r="D33" s="16">
        <f>SUM(D26:D32)</f>
        <v>2544.19</v>
      </c>
    </row>
    <row r="36" spans="1:4" x14ac:dyDescent="0.2">
      <c r="A36" s="76" t="s">
        <v>17</v>
      </c>
      <c r="B36" s="76"/>
      <c r="C36" s="76"/>
      <c r="D36" s="76"/>
    </row>
    <row r="37" spans="1:4" x14ac:dyDescent="0.2">
      <c r="A37" s="3"/>
    </row>
    <row r="38" spans="1:4" x14ac:dyDescent="0.2">
      <c r="A38" s="74" t="s">
        <v>18</v>
      </c>
      <c r="B38" s="74"/>
      <c r="C38" s="74"/>
      <c r="D38" s="74"/>
    </row>
    <row r="40" spans="1:4" x14ac:dyDescent="0.2">
      <c r="A40" s="29" t="s">
        <v>19</v>
      </c>
      <c r="B40" s="73" t="s">
        <v>20</v>
      </c>
      <c r="C40" s="73"/>
      <c r="D40" s="29" t="s">
        <v>3</v>
      </c>
    </row>
    <row r="41" spans="1:4" x14ac:dyDescent="0.2">
      <c r="A41" s="28" t="s">
        <v>4</v>
      </c>
      <c r="B41" s="30" t="s">
        <v>21</v>
      </c>
      <c r="C41" s="8">
        <f>TRUNC(1/12,4)</f>
        <v>8.3299999999999999E-2</v>
      </c>
      <c r="D41" s="9">
        <f>TRUNC($D$33*C41,2)</f>
        <v>211.93</v>
      </c>
    </row>
    <row r="42" spans="1:4" x14ac:dyDescent="0.2">
      <c r="A42" s="28" t="s">
        <v>6</v>
      </c>
      <c r="B42" s="30" t="s">
        <v>22</v>
      </c>
      <c r="C42" s="8">
        <f>TRUNC(((1+1/3)/12),4)</f>
        <v>0.1111</v>
      </c>
      <c r="D42" s="9">
        <f>TRUNC($D$33*C42,2)</f>
        <v>282.64999999999998</v>
      </c>
    </row>
    <row r="43" spans="1:4" x14ac:dyDescent="0.2">
      <c r="A43" s="73" t="s">
        <v>16</v>
      </c>
      <c r="B43" s="73"/>
      <c r="C43" s="27">
        <f>SUM(C41:C42)</f>
        <v>0.19440000000000002</v>
      </c>
      <c r="D43" s="15">
        <f>SUM(D41:D42)</f>
        <v>494.58</v>
      </c>
    </row>
    <row r="46" spans="1:4" x14ac:dyDescent="0.2">
      <c r="A46" s="78" t="s">
        <v>23</v>
      </c>
      <c r="B46" s="78"/>
      <c r="C46" s="78"/>
      <c r="D46" s="78"/>
    </row>
    <row r="48" spans="1:4" x14ac:dyDescent="0.2">
      <c r="A48" s="29" t="s">
        <v>24</v>
      </c>
      <c r="B48" s="29" t="s">
        <v>25</v>
      </c>
      <c r="C48" s="29" t="s">
        <v>26</v>
      </c>
      <c r="D48" s="29" t="s">
        <v>3</v>
      </c>
    </row>
    <row r="49" spans="1:4" x14ac:dyDescent="0.2">
      <c r="A49" s="28" t="s">
        <v>4</v>
      </c>
      <c r="B49" s="30" t="s">
        <v>27</v>
      </c>
      <c r="C49" s="6">
        <v>0.2</v>
      </c>
      <c r="D49" s="9">
        <f>TRUNC(($D$33+$D$43)*C49,2)</f>
        <v>607.75</v>
      </c>
    </row>
    <row r="50" spans="1:4" x14ac:dyDescent="0.2">
      <c r="A50" s="28" t="s">
        <v>6</v>
      </c>
      <c r="B50" s="30" t="s">
        <v>28</v>
      </c>
      <c r="C50" s="6">
        <v>2.5000000000000001E-2</v>
      </c>
      <c r="D50" s="9">
        <f t="shared" ref="D50:D56" si="0">TRUNC(($D$33+$D$43)*C50,2)</f>
        <v>75.959999999999994</v>
      </c>
    </row>
    <row r="51" spans="1:4" x14ac:dyDescent="0.2">
      <c r="A51" s="28" t="s">
        <v>8</v>
      </c>
      <c r="B51" s="30" t="s">
        <v>29</v>
      </c>
      <c r="C51" s="12">
        <v>0.03</v>
      </c>
      <c r="D51" s="9">
        <f t="shared" si="0"/>
        <v>91.16</v>
      </c>
    </row>
    <row r="52" spans="1:4" x14ac:dyDescent="0.2">
      <c r="A52" s="28" t="s">
        <v>10</v>
      </c>
      <c r="B52" s="30" t="s">
        <v>30</v>
      </c>
      <c r="C52" s="6">
        <v>1.4999999999999999E-2</v>
      </c>
      <c r="D52" s="9">
        <f t="shared" si="0"/>
        <v>45.58</v>
      </c>
    </row>
    <row r="53" spans="1:4" x14ac:dyDescent="0.2">
      <c r="A53" s="28" t="s">
        <v>12</v>
      </c>
      <c r="B53" s="30" t="s">
        <v>31</v>
      </c>
      <c r="C53" s="6">
        <v>0.01</v>
      </c>
      <c r="D53" s="9">
        <f t="shared" si="0"/>
        <v>30.38</v>
      </c>
    </row>
    <row r="54" spans="1:4" x14ac:dyDescent="0.2">
      <c r="A54" s="28" t="s">
        <v>32</v>
      </c>
      <c r="B54" s="30" t="s">
        <v>33</v>
      </c>
      <c r="C54" s="6">
        <v>6.0000000000000001E-3</v>
      </c>
      <c r="D54" s="9">
        <f t="shared" si="0"/>
        <v>18.23</v>
      </c>
    </row>
    <row r="55" spans="1:4" x14ac:dyDescent="0.2">
      <c r="A55" s="28" t="s">
        <v>14</v>
      </c>
      <c r="B55" s="30" t="s">
        <v>34</v>
      </c>
      <c r="C55" s="6">
        <v>2E-3</v>
      </c>
      <c r="D55" s="9">
        <f t="shared" si="0"/>
        <v>6.07</v>
      </c>
    </row>
    <row r="56" spans="1:4" x14ac:dyDescent="0.2">
      <c r="A56" s="28" t="s">
        <v>35</v>
      </c>
      <c r="B56" s="30" t="s">
        <v>36</v>
      </c>
      <c r="C56" s="6">
        <v>0.08</v>
      </c>
      <c r="D56" s="9">
        <f t="shared" si="0"/>
        <v>243.1</v>
      </c>
    </row>
    <row r="57" spans="1:4" x14ac:dyDescent="0.2">
      <c r="A57" s="73" t="s">
        <v>37</v>
      </c>
      <c r="B57" s="73"/>
      <c r="C57" s="11">
        <f>SUM(C49:C56)</f>
        <v>0.36800000000000005</v>
      </c>
      <c r="D57" s="15">
        <f>SUM(D49:D56)</f>
        <v>1118.23</v>
      </c>
    </row>
    <row r="60" spans="1:4" x14ac:dyDescent="0.2">
      <c r="A60" s="74" t="s">
        <v>38</v>
      </c>
      <c r="B60" s="74"/>
      <c r="C60" s="74"/>
      <c r="D60" s="74"/>
    </row>
    <row r="62" spans="1:4" x14ac:dyDescent="0.2">
      <c r="A62" s="29" t="s">
        <v>39</v>
      </c>
      <c r="B62" s="75" t="s">
        <v>40</v>
      </c>
      <c r="C62" s="75"/>
      <c r="D62" s="29" t="s">
        <v>3</v>
      </c>
    </row>
    <row r="63" spans="1:4" x14ac:dyDescent="0.2">
      <c r="A63" s="28" t="s">
        <v>4</v>
      </c>
      <c r="B63" s="72" t="s">
        <v>41</v>
      </c>
      <c r="C63" s="72"/>
      <c r="D63" s="9">
        <f>(22*2*4)-(D26*0.06)</f>
        <v>23.348600000000005</v>
      </c>
    </row>
    <row r="64" spans="1:4" x14ac:dyDescent="0.2">
      <c r="A64" s="28" t="s">
        <v>6</v>
      </c>
      <c r="B64" s="72" t="s">
        <v>42</v>
      </c>
      <c r="C64" s="72"/>
      <c r="D64" s="9">
        <f>13.1*22*0.8</f>
        <v>230.56</v>
      </c>
    </row>
    <row r="65" spans="1:5" x14ac:dyDescent="0.2">
      <c r="A65" s="28" t="s">
        <v>8</v>
      </c>
      <c r="B65" s="72" t="s">
        <v>105</v>
      </c>
      <c r="C65" s="72"/>
      <c r="D65" s="9">
        <v>100</v>
      </c>
    </row>
    <row r="66" spans="1:5" x14ac:dyDescent="0.2">
      <c r="A66" s="28" t="s">
        <v>10</v>
      </c>
      <c r="B66" s="72" t="s">
        <v>106</v>
      </c>
      <c r="C66" s="72"/>
      <c r="D66" s="9">
        <v>10</v>
      </c>
    </row>
    <row r="67" spans="1:5" x14ac:dyDescent="0.2">
      <c r="A67" s="28" t="s">
        <v>12</v>
      </c>
      <c r="B67" s="72" t="s">
        <v>107</v>
      </c>
      <c r="C67" s="72"/>
      <c r="D67" s="9">
        <v>3.16</v>
      </c>
    </row>
    <row r="68" spans="1:5" x14ac:dyDescent="0.2">
      <c r="A68" s="73" t="s">
        <v>16</v>
      </c>
      <c r="B68" s="73"/>
      <c r="C68" s="73"/>
      <c r="D68" s="15">
        <f>SUM(D63:D67)</f>
        <v>367.0686</v>
      </c>
    </row>
    <row r="71" spans="1:5" x14ac:dyDescent="0.2">
      <c r="A71" s="74" t="s">
        <v>43</v>
      </c>
      <c r="B71" s="74"/>
      <c r="C71" s="74"/>
      <c r="D71" s="74"/>
    </row>
    <row r="73" spans="1:5" x14ac:dyDescent="0.2">
      <c r="A73" s="29">
        <v>2</v>
      </c>
      <c r="B73" s="75" t="s">
        <v>44</v>
      </c>
      <c r="C73" s="75"/>
      <c r="D73" s="29" t="s">
        <v>3</v>
      </c>
    </row>
    <row r="74" spans="1:5" x14ac:dyDescent="0.2">
      <c r="A74" s="28" t="s">
        <v>19</v>
      </c>
      <c r="B74" s="72" t="s">
        <v>20</v>
      </c>
      <c r="C74" s="72"/>
      <c r="D74" s="10">
        <f>D43</f>
        <v>494.58</v>
      </c>
    </row>
    <row r="75" spans="1:5" x14ac:dyDescent="0.2">
      <c r="A75" s="28" t="s">
        <v>24</v>
      </c>
      <c r="B75" s="72" t="s">
        <v>25</v>
      </c>
      <c r="C75" s="72"/>
      <c r="D75" s="10">
        <f>D57</f>
        <v>1118.23</v>
      </c>
    </row>
    <row r="76" spans="1:5" x14ac:dyDescent="0.2">
      <c r="A76" s="28" t="s">
        <v>39</v>
      </c>
      <c r="B76" s="72" t="s">
        <v>40</v>
      </c>
      <c r="C76" s="72"/>
      <c r="D76" s="10">
        <f>D68</f>
        <v>367.0686</v>
      </c>
    </row>
    <row r="77" spans="1:5" x14ac:dyDescent="0.2">
      <c r="A77" s="73" t="s">
        <v>16</v>
      </c>
      <c r="B77" s="73"/>
      <c r="C77" s="73"/>
      <c r="D77" s="15">
        <f>SUM(D74:D76)</f>
        <v>1979.8786</v>
      </c>
    </row>
    <row r="78" spans="1:5" x14ac:dyDescent="0.2">
      <c r="A78" s="4"/>
      <c r="E78" s="14"/>
    </row>
    <row r="80" spans="1:5" x14ac:dyDescent="0.2">
      <c r="A80" s="76" t="s">
        <v>45</v>
      </c>
      <c r="B80" s="76"/>
      <c r="C80" s="76"/>
      <c r="D80" s="76"/>
      <c r="E80" s="13"/>
    </row>
    <row r="81" spans="1:5" ht="12.75" customHeight="1" x14ac:dyDescent="0.2">
      <c r="E81" s="14"/>
    </row>
    <row r="82" spans="1:5" x14ac:dyDescent="0.2">
      <c r="A82" s="29">
        <v>3</v>
      </c>
      <c r="B82" s="75" t="s">
        <v>46</v>
      </c>
      <c r="C82" s="75"/>
      <c r="D82" s="29" t="s">
        <v>3</v>
      </c>
    </row>
    <row r="83" spans="1:5" x14ac:dyDescent="0.2">
      <c r="A83" s="28" t="s">
        <v>4</v>
      </c>
      <c r="B83" s="7" t="s">
        <v>47</v>
      </c>
      <c r="C83" s="6">
        <f>TRUNC(((1/12)*5%),4)</f>
        <v>4.1000000000000003E-3</v>
      </c>
      <c r="D83" s="9">
        <f>TRUNC($D$33*C83,2)</f>
        <v>10.43</v>
      </c>
    </row>
    <row r="84" spans="1:5" x14ac:dyDescent="0.2">
      <c r="A84" s="28" t="s">
        <v>6</v>
      </c>
      <c r="B84" s="7" t="s">
        <v>48</v>
      </c>
      <c r="C84" s="6">
        <v>0.08</v>
      </c>
      <c r="D84" s="9">
        <f>TRUNC(D83*C84,2)</f>
        <v>0.83</v>
      </c>
    </row>
    <row r="85" spans="1:5" x14ac:dyDescent="0.2">
      <c r="A85" s="28" t="s">
        <v>8</v>
      </c>
      <c r="B85" s="7" t="s">
        <v>49</v>
      </c>
      <c r="C85" s="6">
        <f>TRUNC(8%*5%*50%,4)</f>
        <v>2E-3</v>
      </c>
      <c r="D85" s="9">
        <f>TRUNC($D$33*C85,2)</f>
        <v>5.08</v>
      </c>
    </row>
    <row r="86" spans="1:5" x14ac:dyDescent="0.2">
      <c r="A86" s="28" t="s">
        <v>10</v>
      </c>
      <c r="B86" s="7" t="s">
        <v>50</v>
      </c>
      <c r="C86" s="6">
        <f>TRUNC(((7/30)/12)*95%,4)</f>
        <v>1.84E-2</v>
      </c>
      <c r="D86" s="9">
        <f>TRUNC($D$33*C86,2)</f>
        <v>46.81</v>
      </c>
    </row>
    <row r="87" spans="1:5" ht="25.5" x14ac:dyDescent="0.2">
      <c r="A87" s="28" t="s">
        <v>12</v>
      </c>
      <c r="B87" s="7" t="s">
        <v>100</v>
      </c>
      <c r="C87" s="6">
        <f>C57</f>
        <v>0.36800000000000005</v>
      </c>
      <c r="D87" s="9">
        <f>TRUNC(D86*C87,2)</f>
        <v>17.22</v>
      </c>
    </row>
    <row r="88" spans="1:5" x14ac:dyDescent="0.2">
      <c r="A88" s="28" t="s">
        <v>32</v>
      </c>
      <c r="B88" s="7" t="s">
        <v>51</v>
      </c>
      <c r="C88" s="6">
        <f>TRUNC(8%*95%*50%,4)</f>
        <v>3.7999999999999999E-2</v>
      </c>
      <c r="D88" s="9">
        <f t="shared" ref="D88" si="1">TRUNC($D$33*C88,2)</f>
        <v>96.67</v>
      </c>
    </row>
    <row r="89" spans="1:5" x14ac:dyDescent="0.2">
      <c r="A89" s="80" t="s">
        <v>16</v>
      </c>
      <c r="B89" s="81"/>
      <c r="C89" s="82"/>
      <c r="D89" s="15">
        <f>SUM(D83:D88)</f>
        <v>177.04000000000002</v>
      </c>
    </row>
    <row r="92" spans="1:5" x14ac:dyDescent="0.2">
      <c r="A92" s="76" t="s">
        <v>52</v>
      </c>
      <c r="B92" s="76"/>
      <c r="C92" s="76"/>
      <c r="D92" s="76"/>
    </row>
    <row r="95" spans="1:5" x14ac:dyDescent="0.2">
      <c r="A95" s="74" t="s">
        <v>79</v>
      </c>
      <c r="B95" s="74"/>
      <c r="C95" s="74"/>
      <c r="D95" s="74"/>
    </row>
    <row r="96" spans="1:5" x14ac:dyDescent="0.2">
      <c r="A96" s="3"/>
    </row>
    <row r="97" spans="1:6" x14ac:dyDescent="0.2">
      <c r="A97" s="29" t="s">
        <v>53</v>
      </c>
      <c r="B97" s="75" t="s">
        <v>80</v>
      </c>
      <c r="C97" s="75"/>
      <c r="D97" s="29" t="s">
        <v>3</v>
      </c>
    </row>
    <row r="98" spans="1:6" x14ac:dyDescent="0.2">
      <c r="A98" s="28" t="s">
        <v>4</v>
      </c>
      <c r="B98" s="30" t="s">
        <v>81</v>
      </c>
      <c r="C98" s="6">
        <f>TRUNC(((1+1/3)/12)/12,4)</f>
        <v>9.1999999999999998E-3</v>
      </c>
      <c r="D98" s="9">
        <f>TRUNC(($D$33+$D$77+$D$89)*C98,2)</f>
        <v>43.25</v>
      </c>
    </row>
    <row r="99" spans="1:6" x14ac:dyDescent="0.2">
      <c r="A99" s="28" t="s">
        <v>6</v>
      </c>
      <c r="B99" s="30" t="s">
        <v>82</v>
      </c>
      <c r="C99" s="6">
        <f>TRUNC(((2/30)/12),4)</f>
        <v>5.4999999999999997E-3</v>
      </c>
      <c r="D99" s="9">
        <f t="shared" ref="D99:D103" si="2">TRUNC(($D$33+$D$77+$D$89)*C99,2)</f>
        <v>25.85</v>
      </c>
    </row>
    <row r="100" spans="1:6" x14ac:dyDescent="0.2">
      <c r="A100" s="28" t="s">
        <v>8</v>
      </c>
      <c r="B100" s="30" t="s">
        <v>83</v>
      </c>
      <c r="C100" s="6">
        <f>TRUNC(((5/30)/12)*2%,4)</f>
        <v>2.0000000000000001E-4</v>
      </c>
      <c r="D100" s="9">
        <f t="shared" si="2"/>
        <v>0.94</v>
      </c>
    </row>
    <row r="101" spans="1:6" x14ac:dyDescent="0.2">
      <c r="A101" s="28" t="s">
        <v>10</v>
      </c>
      <c r="B101" s="30" t="s">
        <v>84</v>
      </c>
      <c r="C101" s="6">
        <f>TRUNC(((15/30)/12)*8%,4)</f>
        <v>3.3E-3</v>
      </c>
      <c r="D101" s="9">
        <f t="shared" si="2"/>
        <v>15.51</v>
      </c>
    </row>
    <row r="102" spans="1:6" x14ac:dyDescent="0.2">
      <c r="A102" s="28" t="s">
        <v>12</v>
      </c>
      <c r="B102" s="30" t="s">
        <v>85</v>
      </c>
      <c r="C102" s="6">
        <f>((1+1/3)/12)*3%*(4/12)</f>
        <v>1.1111111111111109E-3</v>
      </c>
      <c r="D102" s="9">
        <f t="shared" si="2"/>
        <v>5.22</v>
      </c>
    </row>
    <row r="103" spans="1:6" x14ac:dyDescent="0.2">
      <c r="A103" s="28" t="s">
        <v>32</v>
      </c>
      <c r="B103" s="30" t="s">
        <v>86</v>
      </c>
      <c r="C103" s="6"/>
      <c r="D103" s="9">
        <f t="shared" si="2"/>
        <v>0</v>
      </c>
    </row>
    <row r="104" spans="1:6" x14ac:dyDescent="0.2">
      <c r="A104" s="73" t="s">
        <v>37</v>
      </c>
      <c r="B104" s="73"/>
      <c r="C104" s="73"/>
      <c r="D104" s="15">
        <f>SUM(D98:D103)</f>
        <v>90.77</v>
      </c>
      <c r="E104" s="13"/>
      <c r="F104" s="13"/>
    </row>
    <row r="107" spans="1:6" x14ac:dyDescent="0.2">
      <c r="A107" s="74" t="s">
        <v>87</v>
      </c>
      <c r="B107" s="74"/>
      <c r="C107" s="74"/>
      <c r="D107" s="74"/>
    </row>
    <row r="108" spans="1:6" x14ac:dyDescent="0.2">
      <c r="A108" s="3"/>
    </row>
    <row r="109" spans="1:6" x14ac:dyDescent="0.2">
      <c r="A109" s="29" t="s">
        <v>54</v>
      </c>
      <c r="B109" s="75" t="s">
        <v>88</v>
      </c>
      <c r="C109" s="75"/>
      <c r="D109" s="29" t="s">
        <v>3</v>
      </c>
    </row>
    <row r="110" spans="1:6" x14ac:dyDescent="0.2">
      <c r="A110" s="28" t="s">
        <v>4</v>
      </c>
      <c r="B110" s="83" t="s">
        <v>89</v>
      </c>
      <c r="C110" s="84"/>
      <c r="D110" s="9">
        <f>((D33+D77+D89)/220)*22*0</f>
        <v>0</v>
      </c>
    </row>
    <row r="111" spans="1:6" x14ac:dyDescent="0.2">
      <c r="A111" s="73" t="s">
        <v>16</v>
      </c>
      <c r="B111" s="73"/>
      <c r="C111" s="73"/>
      <c r="D111" s="15">
        <f>SUM(D110)</f>
        <v>0</v>
      </c>
    </row>
    <row r="114" spans="1:4" x14ac:dyDescent="0.2">
      <c r="A114" s="74" t="s">
        <v>55</v>
      </c>
      <c r="B114" s="74"/>
      <c r="C114" s="74"/>
      <c r="D114" s="74"/>
    </row>
    <row r="115" spans="1:4" x14ac:dyDescent="0.2">
      <c r="A115" s="3"/>
    </row>
    <row r="116" spans="1:4" x14ac:dyDescent="0.2">
      <c r="A116" s="29">
        <v>4</v>
      </c>
      <c r="B116" s="73" t="s">
        <v>56</v>
      </c>
      <c r="C116" s="73"/>
      <c r="D116" s="29" t="s">
        <v>3</v>
      </c>
    </row>
    <row r="117" spans="1:4" x14ac:dyDescent="0.2">
      <c r="A117" s="28" t="s">
        <v>53</v>
      </c>
      <c r="B117" s="72" t="s">
        <v>80</v>
      </c>
      <c r="C117" s="72"/>
      <c r="D117" s="10">
        <f>D104</f>
        <v>90.77</v>
      </c>
    </row>
    <row r="118" spans="1:4" x14ac:dyDescent="0.2">
      <c r="A118" s="28" t="s">
        <v>54</v>
      </c>
      <c r="B118" s="72" t="s">
        <v>88</v>
      </c>
      <c r="C118" s="72"/>
      <c r="D118" s="10">
        <f>D111</f>
        <v>0</v>
      </c>
    </row>
    <row r="119" spans="1:4" x14ac:dyDescent="0.2">
      <c r="A119" s="73" t="s">
        <v>16</v>
      </c>
      <c r="B119" s="73"/>
      <c r="C119" s="73"/>
      <c r="D119" s="15">
        <f>SUM(D117:D118)</f>
        <v>90.77</v>
      </c>
    </row>
    <row r="122" spans="1:4" x14ac:dyDescent="0.2">
      <c r="A122" s="76" t="s">
        <v>57</v>
      </c>
      <c r="B122" s="76"/>
      <c r="C122" s="76"/>
      <c r="D122" s="76"/>
    </row>
    <row r="124" spans="1:4" x14ac:dyDescent="0.2">
      <c r="A124" s="29">
        <v>5</v>
      </c>
      <c r="B124" s="85" t="s">
        <v>58</v>
      </c>
      <c r="C124" s="85"/>
      <c r="D124" s="29" t="s">
        <v>3</v>
      </c>
    </row>
    <row r="125" spans="1:4" x14ac:dyDescent="0.2">
      <c r="A125" s="28" t="s">
        <v>4</v>
      </c>
      <c r="B125" s="30" t="s">
        <v>59</v>
      </c>
      <c r="C125" s="30"/>
      <c r="D125" s="9">
        <v>48.29</v>
      </c>
    </row>
    <row r="126" spans="1:4" x14ac:dyDescent="0.2">
      <c r="A126" s="28" t="s">
        <v>6</v>
      </c>
      <c r="B126" s="30" t="s">
        <v>60</v>
      </c>
      <c r="C126" s="30"/>
      <c r="D126" s="9"/>
    </row>
    <row r="127" spans="1:4" x14ac:dyDescent="0.2">
      <c r="A127" s="28" t="s">
        <v>8</v>
      </c>
      <c r="B127" s="30" t="s">
        <v>61</v>
      </c>
      <c r="C127" s="30"/>
      <c r="D127" s="9"/>
    </row>
    <row r="128" spans="1:4" x14ac:dyDescent="0.2">
      <c r="A128" s="28" t="s">
        <v>10</v>
      </c>
      <c r="B128" s="30" t="s">
        <v>15</v>
      </c>
      <c r="C128" s="30"/>
      <c r="D128" s="9"/>
    </row>
    <row r="129" spans="1:4" x14ac:dyDescent="0.2">
      <c r="A129" s="73" t="s">
        <v>37</v>
      </c>
      <c r="B129" s="73"/>
      <c r="C129" s="73"/>
      <c r="D129" s="16">
        <f>SUM(D125:D128)</f>
        <v>48.29</v>
      </c>
    </row>
    <row r="132" spans="1:4" x14ac:dyDescent="0.2">
      <c r="A132" s="76" t="s">
        <v>62</v>
      </c>
      <c r="B132" s="76"/>
      <c r="C132" s="76"/>
      <c r="D132" s="76"/>
    </row>
    <row r="134" spans="1:4" x14ac:dyDescent="0.2">
      <c r="A134" s="29">
        <v>6</v>
      </c>
      <c r="B134" s="31" t="s">
        <v>63</v>
      </c>
      <c r="C134" s="29" t="s">
        <v>26</v>
      </c>
      <c r="D134" s="29" t="s">
        <v>3</v>
      </c>
    </row>
    <row r="135" spans="1:4" x14ac:dyDescent="0.2">
      <c r="A135" s="28" t="s">
        <v>4</v>
      </c>
      <c r="B135" s="30" t="s">
        <v>64</v>
      </c>
      <c r="C135" s="6">
        <v>0.05</v>
      </c>
      <c r="D135" s="10">
        <f>D155*C135</f>
        <v>242.00843000000006</v>
      </c>
    </row>
    <row r="136" spans="1:4" x14ac:dyDescent="0.2">
      <c r="A136" s="28" t="s">
        <v>6</v>
      </c>
      <c r="B136" s="30" t="s">
        <v>65</v>
      </c>
      <c r="C136" s="6">
        <v>0.06</v>
      </c>
      <c r="D136" s="9">
        <f>(D155+D135)*C136</f>
        <v>304.93062180000004</v>
      </c>
    </row>
    <row r="137" spans="1:4" x14ac:dyDescent="0.2">
      <c r="A137" s="28" t="s">
        <v>8</v>
      </c>
      <c r="B137" s="30" t="s">
        <v>66</v>
      </c>
      <c r="C137" s="8">
        <f>SUM(C138:C143)</f>
        <v>8.6499999999999994E-2</v>
      </c>
      <c r="D137" s="9">
        <f>(D155+D135+D136)*C137/(1-C137)</f>
        <v>510.10926314252879</v>
      </c>
    </row>
    <row r="138" spans="1:4" x14ac:dyDescent="0.2">
      <c r="A138" s="28"/>
      <c r="B138" s="30" t="s">
        <v>67</v>
      </c>
      <c r="C138" s="6"/>
      <c r="D138" s="10">
        <f>$D$157*C138</f>
        <v>0</v>
      </c>
    </row>
    <row r="139" spans="1:4" x14ac:dyDescent="0.2">
      <c r="A139" s="28"/>
      <c r="B139" s="30" t="s">
        <v>102</v>
      </c>
      <c r="C139" s="6">
        <v>6.4999999999999997E-3</v>
      </c>
      <c r="D139" s="10">
        <f t="shared" ref="D139:D143" si="3">$D$157*C139</f>
        <v>38.331909947126441</v>
      </c>
    </row>
    <row r="140" spans="1:4" x14ac:dyDescent="0.2">
      <c r="A140" s="28"/>
      <c r="B140" s="30" t="s">
        <v>103</v>
      </c>
      <c r="C140" s="6">
        <v>0.03</v>
      </c>
      <c r="D140" s="10">
        <f t="shared" si="3"/>
        <v>176.91650744827589</v>
      </c>
    </row>
    <row r="141" spans="1:4" x14ac:dyDescent="0.2">
      <c r="A141" s="28"/>
      <c r="B141" s="30" t="s">
        <v>68</v>
      </c>
      <c r="C141" s="28"/>
      <c r="D141" s="10">
        <f t="shared" si="3"/>
        <v>0</v>
      </c>
    </row>
    <row r="142" spans="1:4" x14ac:dyDescent="0.2">
      <c r="A142" s="28"/>
      <c r="B142" s="30" t="s">
        <v>69</v>
      </c>
      <c r="C142" s="6"/>
      <c r="D142" s="10">
        <f t="shared" si="3"/>
        <v>0</v>
      </c>
    </row>
    <row r="143" spans="1:4" x14ac:dyDescent="0.2">
      <c r="A143" s="28"/>
      <c r="B143" s="30" t="s">
        <v>104</v>
      </c>
      <c r="C143" s="6">
        <v>0.05</v>
      </c>
      <c r="D143" s="10">
        <f t="shared" si="3"/>
        <v>294.86084574712652</v>
      </c>
    </row>
    <row r="144" spans="1:4" ht="13.5" x14ac:dyDescent="0.2">
      <c r="A144" s="80" t="s">
        <v>37</v>
      </c>
      <c r="B144" s="81"/>
      <c r="C144" s="17">
        <f>(1+C136)*(1+C135)/(1-C137)-1</f>
        <v>0.21839080459770144</v>
      </c>
      <c r="D144" s="15">
        <f>SUM(D135:D137)</f>
        <v>1057.048314942529</v>
      </c>
    </row>
    <row r="147" spans="1:4" x14ac:dyDescent="0.2">
      <c r="A147" s="76" t="s">
        <v>70</v>
      </c>
      <c r="B147" s="76"/>
      <c r="C147" s="76"/>
      <c r="D147" s="76"/>
    </row>
    <row r="149" spans="1:4" x14ac:dyDescent="0.2">
      <c r="A149" s="29"/>
      <c r="B149" s="73" t="s">
        <v>71</v>
      </c>
      <c r="C149" s="73"/>
      <c r="D149" s="29" t="s">
        <v>3</v>
      </c>
    </row>
    <row r="150" spans="1:4" x14ac:dyDescent="0.2">
      <c r="A150" s="29" t="s">
        <v>4</v>
      </c>
      <c r="B150" s="72" t="s">
        <v>1</v>
      </c>
      <c r="C150" s="72"/>
      <c r="D150" s="18">
        <f>D33</f>
        <v>2544.19</v>
      </c>
    </row>
    <row r="151" spans="1:4" x14ac:dyDescent="0.2">
      <c r="A151" s="29" t="s">
        <v>6</v>
      </c>
      <c r="B151" s="72" t="s">
        <v>17</v>
      </c>
      <c r="C151" s="72"/>
      <c r="D151" s="18">
        <f>D77</f>
        <v>1979.8786</v>
      </c>
    </row>
    <row r="152" spans="1:4" x14ac:dyDescent="0.2">
      <c r="A152" s="29" t="s">
        <v>8</v>
      </c>
      <c r="B152" s="72" t="s">
        <v>45</v>
      </c>
      <c r="C152" s="72"/>
      <c r="D152" s="18">
        <f>D89</f>
        <v>177.04000000000002</v>
      </c>
    </row>
    <row r="153" spans="1:4" x14ac:dyDescent="0.2">
      <c r="A153" s="29" t="s">
        <v>10</v>
      </c>
      <c r="B153" s="72" t="s">
        <v>52</v>
      </c>
      <c r="C153" s="72"/>
      <c r="D153" s="18">
        <f>D119</f>
        <v>90.77</v>
      </c>
    </row>
    <row r="154" spans="1:4" x14ac:dyDescent="0.2">
      <c r="A154" s="29" t="s">
        <v>12</v>
      </c>
      <c r="B154" s="72" t="s">
        <v>57</v>
      </c>
      <c r="C154" s="72"/>
      <c r="D154" s="18">
        <f>D129</f>
        <v>48.29</v>
      </c>
    </row>
    <row r="155" spans="1:4" x14ac:dyDescent="0.2">
      <c r="A155" s="73" t="s">
        <v>101</v>
      </c>
      <c r="B155" s="73"/>
      <c r="C155" s="73"/>
      <c r="D155" s="19">
        <f>SUM(D150:D154)</f>
        <v>4840.1686000000009</v>
      </c>
    </row>
    <row r="156" spans="1:4" x14ac:dyDescent="0.2">
      <c r="A156" s="29" t="s">
        <v>32</v>
      </c>
      <c r="B156" s="72" t="s">
        <v>72</v>
      </c>
      <c r="C156" s="72"/>
      <c r="D156" s="20">
        <f>D144</f>
        <v>1057.048314942529</v>
      </c>
    </row>
    <row r="157" spans="1:4" x14ac:dyDescent="0.2">
      <c r="A157" s="73" t="s">
        <v>73</v>
      </c>
      <c r="B157" s="73"/>
      <c r="C157" s="73"/>
      <c r="D157" s="19">
        <f>SUM(D155:D156)</f>
        <v>5897.2169149425299</v>
      </c>
    </row>
  </sheetData>
  <mergeCells count="72">
    <mergeCell ref="A157:C157"/>
    <mergeCell ref="A132:D132"/>
    <mergeCell ref="A144:B144"/>
    <mergeCell ref="A147:D147"/>
    <mergeCell ref="B149:C149"/>
    <mergeCell ref="B150:C150"/>
    <mergeCell ref="B151:C151"/>
    <mergeCell ref="B152:C152"/>
    <mergeCell ref="B153:C153"/>
    <mergeCell ref="B154:C154"/>
    <mergeCell ref="A155:C155"/>
    <mergeCell ref="B156:C156"/>
    <mergeCell ref="A129:C129"/>
    <mergeCell ref="A107:D107"/>
    <mergeCell ref="B109:C109"/>
    <mergeCell ref="B110:C110"/>
    <mergeCell ref="A111:C111"/>
    <mergeCell ref="A114:D114"/>
    <mergeCell ref="B116:C116"/>
    <mergeCell ref="B117:C117"/>
    <mergeCell ref="B118:C118"/>
    <mergeCell ref="A119:C119"/>
    <mergeCell ref="A122:D122"/>
    <mergeCell ref="B124:C124"/>
    <mergeCell ref="A104:C104"/>
    <mergeCell ref="B73:C73"/>
    <mergeCell ref="B74:C74"/>
    <mergeCell ref="B75:C75"/>
    <mergeCell ref="B76:C76"/>
    <mergeCell ref="A77:C77"/>
    <mergeCell ref="A80:D80"/>
    <mergeCell ref="B82:C82"/>
    <mergeCell ref="A89:C89"/>
    <mergeCell ref="A92:D92"/>
    <mergeCell ref="A95:D95"/>
    <mergeCell ref="B97:C97"/>
    <mergeCell ref="A71:D71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B67:C67"/>
    <mergeCell ref="A68:C68"/>
    <mergeCell ref="B40:C40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A23:D23"/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topLeftCell="A16" zoomScale="115" zoomScaleNormal="115" workbookViewId="0">
      <selection activeCell="D126" sqref="D126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77" t="s">
        <v>0</v>
      </c>
      <c r="B1" s="77"/>
      <c r="C1" s="77"/>
      <c r="D1" s="77"/>
    </row>
    <row r="2" spans="1:4" ht="15.75" x14ac:dyDescent="0.25">
      <c r="A2" s="22"/>
      <c r="B2" s="22"/>
      <c r="C2" s="22"/>
      <c r="D2" s="22"/>
    </row>
    <row r="3" spans="1:4" x14ac:dyDescent="0.2">
      <c r="A3" s="79" t="s">
        <v>90</v>
      </c>
      <c r="B3" s="79"/>
      <c r="C3" s="79"/>
      <c r="D3" s="79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25" t="s">
        <v>91</v>
      </c>
      <c r="C5" s="23"/>
      <c r="D5" s="24"/>
    </row>
    <row r="6" spans="1:4" x14ac:dyDescent="0.2">
      <c r="A6" s="5" t="s">
        <v>6</v>
      </c>
      <c r="B6" s="25" t="s">
        <v>92</v>
      </c>
      <c r="C6" s="23"/>
      <c r="D6" s="24"/>
    </row>
    <row r="7" spans="1:4" x14ac:dyDescent="0.2">
      <c r="A7" s="5" t="s">
        <v>8</v>
      </c>
      <c r="B7" s="25" t="s">
        <v>93</v>
      </c>
      <c r="C7" s="23"/>
      <c r="D7" s="24"/>
    </row>
    <row r="8" spans="1:4" x14ac:dyDescent="0.2">
      <c r="A8" s="5" t="s">
        <v>10</v>
      </c>
      <c r="B8" s="25" t="s">
        <v>94</v>
      </c>
      <c r="C8" s="23"/>
      <c r="D8" s="21">
        <v>24</v>
      </c>
    </row>
    <row r="10" spans="1:4" x14ac:dyDescent="0.2">
      <c r="A10" s="79" t="s">
        <v>95</v>
      </c>
      <c r="B10" s="79"/>
      <c r="C10" s="79"/>
      <c r="D10" s="79"/>
    </row>
    <row r="11" spans="1:4" x14ac:dyDescent="0.2">
      <c r="A11" s="2"/>
      <c r="B11" s="2"/>
      <c r="C11" s="2"/>
      <c r="D11" s="2"/>
    </row>
    <row r="12" spans="1:4" ht="38.25" x14ac:dyDescent="0.2">
      <c r="A12" s="86" t="s">
        <v>96</v>
      </c>
      <c r="B12" s="86"/>
      <c r="C12" s="28" t="s">
        <v>97</v>
      </c>
      <c r="D12" s="26" t="s">
        <v>98</v>
      </c>
    </row>
    <row r="13" spans="1:4" x14ac:dyDescent="0.2">
      <c r="A13" s="87" t="s">
        <v>114</v>
      </c>
      <c r="B13" s="88"/>
      <c r="C13" s="21" t="s">
        <v>108</v>
      </c>
      <c r="D13" s="32" t="s">
        <v>111</v>
      </c>
    </row>
    <row r="15" spans="1:4" x14ac:dyDescent="0.2">
      <c r="A15" s="79" t="s">
        <v>74</v>
      </c>
      <c r="B15" s="79"/>
      <c r="C15" s="79"/>
      <c r="D15" s="79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89" t="s">
        <v>115</v>
      </c>
      <c r="D17" s="90"/>
    </row>
    <row r="18" spans="1:4" x14ac:dyDescent="0.2">
      <c r="A18" s="5">
        <v>2</v>
      </c>
      <c r="B18" s="5" t="s">
        <v>99</v>
      </c>
      <c r="C18" s="89">
        <v>7823</v>
      </c>
      <c r="D18" s="90"/>
    </row>
    <row r="19" spans="1:4" x14ac:dyDescent="0.2">
      <c r="A19" s="5">
        <v>3</v>
      </c>
      <c r="B19" s="5" t="s">
        <v>76</v>
      </c>
      <c r="C19" s="91">
        <v>1460.06</v>
      </c>
      <c r="D19" s="92"/>
    </row>
    <row r="20" spans="1:4" x14ac:dyDescent="0.2">
      <c r="A20" s="5">
        <v>4</v>
      </c>
      <c r="B20" s="5" t="s">
        <v>77</v>
      </c>
      <c r="C20" s="89" t="s">
        <v>109</v>
      </c>
      <c r="D20" s="90"/>
    </row>
    <row r="21" spans="1:4" x14ac:dyDescent="0.2">
      <c r="A21" s="5">
        <v>5</v>
      </c>
      <c r="B21" s="5" t="s">
        <v>78</v>
      </c>
      <c r="C21" s="93">
        <v>43101</v>
      </c>
      <c r="D21" s="90"/>
    </row>
    <row r="23" spans="1:4" x14ac:dyDescent="0.2">
      <c r="A23" s="79" t="s">
        <v>1</v>
      </c>
      <c r="B23" s="79"/>
      <c r="C23" s="79"/>
      <c r="D23" s="79"/>
    </row>
    <row r="25" spans="1:4" x14ac:dyDescent="0.2">
      <c r="A25" s="29">
        <v>1</v>
      </c>
      <c r="B25" s="73" t="s">
        <v>2</v>
      </c>
      <c r="C25" s="73"/>
      <c r="D25" s="29" t="s">
        <v>3</v>
      </c>
    </row>
    <row r="26" spans="1:4" x14ac:dyDescent="0.2">
      <c r="A26" s="28" t="s">
        <v>4</v>
      </c>
      <c r="B26" s="72" t="s">
        <v>5</v>
      </c>
      <c r="C26" s="72"/>
      <c r="D26" s="9">
        <v>2544.19</v>
      </c>
    </row>
    <row r="27" spans="1:4" x14ac:dyDescent="0.2">
      <c r="A27" s="28" t="s">
        <v>6</v>
      </c>
      <c r="B27" s="72" t="s">
        <v>7</v>
      </c>
      <c r="C27" s="72"/>
      <c r="D27" s="9"/>
    </row>
    <row r="28" spans="1:4" x14ac:dyDescent="0.2">
      <c r="A28" s="28" t="s">
        <v>8</v>
      </c>
      <c r="B28" s="72" t="s">
        <v>9</v>
      </c>
      <c r="C28" s="72"/>
      <c r="D28" s="9"/>
    </row>
    <row r="29" spans="1:4" x14ac:dyDescent="0.2">
      <c r="A29" s="28" t="s">
        <v>10</v>
      </c>
      <c r="B29" s="72" t="s">
        <v>11</v>
      </c>
      <c r="C29" s="72"/>
      <c r="D29" s="9"/>
    </row>
    <row r="30" spans="1:4" x14ac:dyDescent="0.2">
      <c r="A30" s="28" t="s">
        <v>12</v>
      </c>
      <c r="B30" s="72" t="s">
        <v>13</v>
      </c>
      <c r="C30" s="72"/>
      <c r="D30" s="9"/>
    </row>
    <row r="31" spans="1:4" x14ac:dyDescent="0.2">
      <c r="A31" s="28"/>
      <c r="B31" s="72"/>
      <c r="C31" s="72"/>
      <c r="D31" s="9"/>
    </row>
    <row r="32" spans="1:4" x14ac:dyDescent="0.2">
      <c r="A32" s="28" t="s">
        <v>14</v>
      </c>
      <c r="B32" s="72" t="s">
        <v>15</v>
      </c>
      <c r="C32" s="72"/>
      <c r="D32" s="9"/>
    </row>
    <row r="33" spans="1:4" x14ac:dyDescent="0.2">
      <c r="A33" s="73" t="s">
        <v>16</v>
      </c>
      <c r="B33" s="73"/>
      <c r="C33" s="73"/>
      <c r="D33" s="16">
        <f>SUM(D26:D32)</f>
        <v>2544.19</v>
      </c>
    </row>
    <row r="36" spans="1:4" x14ac:dyDescent="0.2">
      <c r="A36" s="76" t="s">
        <v>17</v>
      </c>
      <c r="B36" s="76"/>
      <c r="C36" s="76"/>
      <c r="D36" s="76"/>
    </row>
    <row r="37" spans="1:4" x14ac:dyDescent="0.2">
      <c r="A37" s="3"/>
    </row>
    <row r="38" spans="1:4" x14ac:dyDescent="0.2">
      <c r="A38" s="74" t="s">
        <v>18</v>
      </c>
      <c r="B38" s="74"/>
      <c r="C38" s="74"/>
      <c r="D38" s="74"/>
    </row>
    <row r="40" spans="1:4" x14ac:dyDescent="0.2">
      <c r="A40" s="29" t="s">
        <v>19</v>
      </c>
      <c r="B40" s="73" t="s">
        <v>20</v>
      </c>
      <c r="C40" s="73"/>
      <c r="D40" s="29" t="s">
        <v>3</v>
      </c>
    </row>
    <row r="41" spans="1:4" x14ac:dyDescent="0.2">
      <c r="A41" s="28" t="s">
        <v>4</v>
      </c>
      <c r="B41" s="30" t="s">
        <v>21</v>
      </c>
      <c r="C41" s="8">
        <f>TRUNC(1/12,4)</f>
        <v>8.3299999999999999E-2</v>
      </c>
      <c r="D41" s="9">
        <f>TRUNC($D$33*C41,2)</f>
        <v>211.93</v>
      </c>
    </row>
    <row r="42" spans="1:4" x14ac:dyDescent="0.2">
      <c r="A42" s="28" t="s">
        <v>6</v>
      </c>
      <c r="B42" s="30" t="s">
        <v>22</v>
      </c>
      <c r="C42" s="8">
        <f>TRUNC(((1+1/3)/12),4)</f>
        <v>0.1111</v>
      </c>
      <c r="D42" s="9">
        <f>TRUNC($D$33*C42,2)</f>
        <v>282.64999999999998</v>
      </c>
    </row>
    <row r="43" spans="1:4" x14ac:dyDescent="0.2">
      <c r="A43" s="73" t="s">
        <v>16</v>
      </c>
      <c r="B43" s="73"/>
      <c r="C43" s="27">
        <f>SUM(C41:C42)</f>
        <v>0.19440000000000002</v>
      </c>
      <c r="D43" s="15">
        <f>SUM(D41:D42)</f>
        <v>494.58</v>
      </c>
    </row>
    <row r="46" spans="1:4" x14ac:dyDescent="0.2">
      <c r="A46" s="78" t="s">
        <v>23</v>
      </c>
      <c r="B46" s="78"/>
      <c r="C46" s="78"/>
      <c r="D46" s="78"/>
    </row>
    <row r="48" spans="1:4" x14ac:dyDescent="0.2">
      <c r="A48" s="29" t="s">
        <v>24</v>
      </c>
      <c r="B48" s="29" t="s">
        <v>25</v>
      </c>
      <c r="C48" s="29" t="s">
        <v>26</v>
      </c>
      <c r="D48" s="29" t="s">
        <v>3</v>
      </c>
    </row>
    <row r="49" spans="1:4" x14ac:dyDescent="0.2">
      <c r="A49" s="28" t="s">
        <v>4</v>
      </c>
      <c r="B49" s="30" t="s">
        <v>27</v>
      </c>
      <c r="C49" s="6">
        <v>0.2</v>
      </c>
      <c r="D49" s="9">
        <f>TRUNC(($D$33+$D$43)*C49,2)</f>
        <v>607.75</v>
      </c>
    </row>
    <row r="50" spans="1:4" x14ac:dyDescent="0.2">
      <c r="A50" s="28" t="s">
        <v>6</v>
      </c>
      <c r="B50" s="30" t="s">
        <v>28</v>
      </c>
      <c r="C50" s="6">
        <v>2.5000000000000001E-2</v>
      </c>
      <c r="D50" s="9">
        <f t="shared" ref="D50:D56" si="0">TRUNC(($D$33+$D$43)*C50,2)</f>
        <v>75.959999999999994</v>
      </c>
    </row>
    <row r="51" spans="1:4" x14ac:dyDescent="0.2">
      <c r="A51" s="28" t="s">
        <v>8</v>
      </c>
      <c r="B51" s="30" t="s">
        <v>29</v>
      </c>
      <c r="C51" s="12">
        <v>0.03</v>
      </c>
      <c r="D51" s="9">
        <f t="shared" si="0"/>
        <v>91.16</v>
      </c>
    </row>
    <row r="52" spans="1:4" x14ac:dyDescent="0.2">
      <c r="A52" s="28" t="s">
        <v>10</v>
      </c>
      <c r="B52" s="30" t="s">
        <v>30</v>
      </c>
      <c r="C52" s="6">
        <v>1.4999999999999999E-2</v>
      </c>
      <c r="D52" s="9">
        <f t="shared" si="0"/>
        <v>45.58</v>
      </c>
    </row>
    <row r="53" spans="1:4" x14ac:dyDescent="0.2">
      <c r="A53" s="28" t="s">
        <v>12</v>
      </c>
      <c r="B53" s="30" t="s">
        <v>31</v>
      </c>
      <c r="C53" s="6">
        <v>0.01</v>
      </c>
      <c r="D53" s="9">
        <f t="shared" si="0"/>
        <v>30.38</v>
      </c>
    </row>
    <row r="54" spans="1:4" x14ac:dyDescent="0.2">
      <c r="A54" s="28" t="s">
        <v>32</v>
      </c>
      <c r="B54" s="30" t="s">
        <v>33</v>
      </c>
      <c r="C54" s="6">
        <v>6.0000000000000001E-3</v>
      </c>
      <c r="D54" s="9">
        <f t="shared" si="0"/>
        <v>18.23</v>
      </c>
    </row>
    <row r="55" spans="1:4" x14ac:dyDescent="0.2">
      <c r="A55" s="28" t="s">
        <v>14</v>
      </c>
      <c r="B55" s="30" t="s">
        <v>34</v>
      </c>
      <c r="C55" s="6">
        <v>2E-3</v>
      </c>
      <c r="D55" s="9">
        <f t="shared" si="0"/>
        <v>6.07</v>
      </c>
    </row>
    <row r="56" spans="1:4" x14ac:dyDescent="0.2">
      <c r="A56" s="28" t="s">
        <v>35</v>
      </c>
      <c r="B56" s="30" t="s">
        <v>36</v>
      </c>
      <c r="C56" s="6">
        <v>0.08</v>
      </c>
      <c r="D56" s="9">
        <f t="shared" si="0"/>
        <v>243.1</v>
      </c>
    </row>
    <row r="57" spans="1:4" x14ac:dyDescent="0.2">
      <c r="A57" s="73" t="s">
        <v>37</v>
      </c>
      <c r="B57" s="73"/>
      <c r="C57" s="11">
        <f>SUM(C49:C56)</f>
        <v>0.36800000000000005</v>
      </c>
      <c r="D57" s="15">
        <f>SUM(D49:D56)</f>
        <v>1118.23</v>
      </c>
    </row>
    <row r="60" spans="1:4" x14ac:dyDescent="0.2">
      <c r="A60" s="74" t="s">
        <v>38</v>
      </c>
      <c r="B60" s="74"/>
      <c r="C60" s="74"/>
      <c r="D60" s="74"/>
    </row>
    <row r="62" spans="1:4" x14ac:dyDescent="0.2">
      <c r="A62" s="29" t="s">
        <v>39</v>
      </c>
      <c r="B62" s="75" t="s">
        <v>40</v>
      </c>
      <c r="C62" s="75"/>
      <c r="D62" s="29" t="s">
        <v>3</v>
      </c>
    </row>
    <row r="63" spans="1:4" x14ac:dyDescent="0.2">
      <c r="A63" s="28" t="s">
        <v>4</v>
      </c>
      <c r="B63" s="72" t="s">
        <v>41</v>
      </c>
      <c r="C63" s="72"/>
      <c r="D63" s="9">
        <f>(22*2*4)-(D26*0.06)</f>
        <v>23.348600000000005</v>
      </c>
    </row>
    <row r="64" spans="1:4" x14ac:dyDescent="0.2">
      <c r="A64" s="28" t="s">
        <v>6</v>
      </c>
      <c r="B64" s="72" t="s">
        <v>42</v>
      </c>
      <c r="C64" s="72"/>
      <c r="D64" s="9">
        <f>13.1*22*0.8</f>
        <v>230.56</v>
      </c>
    </row>
    <row r="65" spans="1:5" x14ac:dyDescent="0.2">
      <c r="A65" s="28" t="s">
        <v>8</v>
      </c>
      <c r="B65" s="72" t="s">
        <v>105</v>
      </c>
      <c r="C65" s="72"/>
      <c r="D65" s="9">
        <v>100</v>
      </c>
    </row>
    <row r="66" spans="1:5" x14ac:dyDescent="0.2">
      <c r="A66" s="28" t="s">
        <v>10</v>
      </c>
      <c r="B66" s="72" t="s">
        <v>106</v>
      </c>
      <c r="C66" s="72"/>
      <c r="D66" s="9">
        <v>10</v>
      </c>
    </row>
    <row r="67" spans="1:5" x14ac:dyDescent="0.2">
      <c r="A67" s="28" t="s">
        <v>12</v>
      </c>
      <c r="B67" s="72" t="s">
        <v>107</v>
      </c>
      <c r="C67" s="72"/>
      <c r="D67" s="9">
        <v>3.16</v>
      </c>
    </row>
    <row r="68" spans="1:5" x14ac:dyDescent="0.2">
      <c r="A68" s="73" t="s">
        <v>16</v>
      </c>
      <c r="B68" s="73"/>
      <c r="C68" s="73"/>
      <c r="D68" s="15">
        <f>SUM(D63:D67)</f>
        <v>367.0686</v>
      </c>
    </row>
    <row r="71" spans="1:5" x14ac:dyDescent="0.2">
      <c r="A71" s="74" t="s">
        <v>43</v>
      </c>
      <c r="B71" s="74"/>
      <c r="C71" s="74"/>
      <c r="D71" s="74"/>
    </row>
    <row r="73" spans="1:5" x14ac:dyDescent="0.2">
      <c r="A73" s="29">
        <v>2</v>
      </c>
      <c r="B73" s="75" t="s">
        <v>44</v>
      </c>
      <c r="C73" s="75"/>
      <c r="D73" s="29" t="s">
        <v>3</v>
      </c>
    </row>
    <row r="74" spans="1:5" x14ac:dyDescent="0.2">
      <c r="A74" s="28" t="s">
        <v>19</v>
      </c>
      <c r="B74" s="72" t="s">
        <v>20</v>
      </c>
      <c r="C74" s="72"/>
      <c r="D74" s="10">
        <f>D43</f>
        <v>494.58</v>
      </c>
    </row>
    <row r="75" spans="1:5" x14ac:dyDescent="0.2">
      <c r="A75" s="28" t="s">
        <v>24</v>
      </c>
      <c r="B75" s="72" t="s">
        <v>25</v>
      </c>
      <c r="C75" s="72"/>
      <c r="D75" s="10">
        <f>D57</f>
        <v>1118.23</v>
      </c>
    </row>
    <row r="76" spans="1:5" x14ac:dyDescent="0.2">
      <c r="A76" s="28" t="s">
        <v>39</v>
      </c>
      <c r="B76" s="72" t="s">
        <v>40</v>
      </c>
      <c r="C76" s="72"/>
      <c r="D76" s="10">
        <f>D68</f>
        <v>367.0686</v>
      </c>
    </row>
    <row r="77" spans="1:5" x14ac:dyDescent="0.2">
      <c r="A77" s="73" t="s">
        <v>16</v>
      </c>
      <c r="B77" s="73"/>
      <c r="C77" s="73"/>
      <c r="D77" s="15">
        <f>SUM(D74:D76)</f>
        <v>1979.8786</v>
      </c>
    </row>
    <row r="78" spans="1:5" x14ac:dyDescent="0.2">
      <c r="A78" s="4"/>
      <c r="E78" s="14"/>
    </row>
    <row r="80" spans="1:5" x14ac:dyDescent="0.2">
      <c r="A80" s="76" t="s">
        <v>45</v>
      </c>
      <c r="B80" s="76"/>
      <c r="C80" s="76"/>
      <c r="D80" s="76"/>
      <c r="E80" s="13"/>
    </row>
    <row r="81" spans="1:5" ht="12.75" customHeight="1" x14ac:dyDescent="0.2">
      <c r="E81" s="14"/>
    </row>
    <row r="82" spans="1:5" x14ac:dyDescent="0.2">
      <c r="A82" s="29">
        <v>3</v>
      </c>
      <c r="B82" s="75" t="s">
        <v>46</v>
      </c>
      <c r="C82" s="75"/>
      <c r="D82" s="29" t="s">
        <v>3</v>
      </c>
    </row>
    <row r="83" spans="1:5" x14ac:dyDescent="0.2">
      <c r="A83" s="28" t="s">
        <v>4</v>
      </c>
      <c r="B83" s="7" t="s">
        <v>47</v>
      </c>
      <c r="C83" s="6">
        <f>TRUNC(((1/12)*5%),4)</f>
        <v>4.1000000000000003E-3</v>
      </c>
      <c r="D83" s="9">
        <f>TRUNC($D$33*C83,2)</f>
        <v>10.43</v>
      </c>
    </row>
    <row r="84" spans="1:5" x14ac:dyDescent="0.2">
      <c r="A84" s="28" t="s">
        <v>6</v>
      </c>
      <c r="B84" s="7" t="s">
        <v>48</v>
      </c>
      <c r="C84" s="6">
        <v>0.08</v>
      </c>
      <c r="D84" s="9">
        <f>TRUNC(D83*C84,2)</f>
        <v>0.83</v>
      </c>
    </row>
    <row r="85" spans="1:5" x14ac:dyDescent="0.2">
      <c r="A85" s="28" t="s">
        <v>8</v>
      </c>
      <c r="B85" s="7" t="s">
        <v>49</v>
      </c>
      <c r="C85" s="6">
        <f>TRUNC(8%*5%*50%,4)</f>
        <v>2E-3</v>
      </c>
      <c r="D85" s="9">
        <f>TRUNC($D$33*C85,2)</f>
        <v>5.08</v>
      </c>
    </row>
    <row r="86" spans="1:5" x14ac:dyDescent="0.2">
      <c r="A86" s="28" t="s">
        <v>10</v>
      </c>
      <c r="B86" s="7" t="s">
        <v>50</v>
      </c>
      <c r="C86" s="6">
        <f>TRUNC(((7/30)/12)*95%,4)</f>
        <v>1.84E-2</v>
      </c>
      <c r="D86" s="9">
        <f>TRUNC($D$33*C86,2)</f>
        <v>46.81</v>
      </c>
    </row>
    <row r="87" spans="1:5" ht="25.5" x14ac:dyDescent="0.2">
      <c r="A87" s="28" t="s">
        <v>12</v>
      </c>
      <c r="B87" s="7" t="s">
        <v>100</v>
      </c>
      <c r="C87" s="6">
        <f>C57</f>
        <v>0.36800000000000005</v>
      </c>
      <c r="D87" s="9">
        <f>TRUNC(D86*C87,2)</f>
        <v>17.22</v>
      </c>
    </row>
    <row r="88" spans="1:5" x14ac:dyDescent="0.2">
      <c r="A88" s="28" t="s">
        <v>32</v>
      </c>
      <c r="B88" s="7" t="s">
        <v>51</v>
      </c>
      <c r="C88" s="6">
        <f>TRUNC(8%*95%*50%,4)</f>
        <v>3.7999999999999999E-2</v>
      </c>
      <c r="D88" s="9">
        <f t="shared" ref="D88" si="1">TRUNC($D$33*C88,2)</f>
        <v>96.67</v>
      </c>
    </row>
    <row r="89" spans="1:5" x14ac:dyDescent="0.2">
      <c r="A89" s="80" t="s">
        <v>16</v>
      </c>
      <c r="B89" s="81"/>
      <c r="C89" s="82"/>
      <c r="D89" s="15">
        <f>SUM(D83:D88)</f>
        <v>177.04000000000002</v>
      </c>
    </row>
    <row r="92" spans="1:5" x14ac:dyDescent="0.2">
      <c r="A92" s="76" t="s">
        <v>52</v>
      </c>
      <c r="B92" s="76"/>
      <c r="C92" s="76"/>
      <c r="D92" s="76"/>
    </row>
    <row r="95" spans="1:5" x14ac:dyDescent="0.2">
      <c r="A95" s="74" t="s">
        <v>79</v>
      </c>
      <c r="B95" s="74"/>
      <c r="C95" s="74"/>
      <c r="D95" s="74"/>
    </row>
    <row r="96" spans="1:5" x14ac:dyDescent="0.2">
      <c r="A96" s="3"/>
    </row>
    <row r="97" spans="1:6" x14ac:dyDescent="0.2">
      <c r="A97" s="29" t="s">
        <v>53</v>
      </c>
      <c r="B97" s="75" t="s">
        <v>80</v>
      </c>
      <c r="C97" s="75"/>
      <c r="D97" s="29" t="s">
        <v>3</v>
      </c>
    </row>
    <row r="98" spans="1:6" x14ac:dyDescent="0.2">
      <c r="A98" s="28" t="s">
        <v>4</v>
      </c>
      <c r="B98" s="30" t="s">
        <v>81</v>
      </c>
      <c r="C98" s="6">
        <f>TRUNC(((1+1/3)/12)/12,4)</f>
        <v>9.1999999999999998E-3</v>
      </c>
      <c r="D98" s="9">
        <f>TRUNC(($D$33+$D$77+$D$89)*C98,2)</f>
        <v>43.25</v>
      </c>
    </row>
    <row r="99" spans="1:6" x14ac:dyDescent="0.2">
      <c r="A99" s="28" t="s">
        <v>6</v>
      </c>
      <c r="B99" s="30" t="s">
        <v>82</v>
      </c>
      <c r="C99" s="6">
        <f>TRUNC(((2/30)/12),4)</f>
        <v>5.4999999999999997E-3</v>
      </c>
      <c r="D99" s="9">
        <f t="shared" ref="D99:D103" si="2">TRUNC(($D$33+$D$77+$D$89)*C99,2)</f>
        <v>25.85</v>
      </c>
    </row>
    <row r="100" spans="1:6" x14ac:dyDescent="0.2">
      <c r="A100" s="28" t="s">
        <v>8</v>
      </c>
      <c r="B100" s="30" t="s">
        <v>83</v>
      </c>
      <c r="C100" s="6">
        <f>TRUNC(((5/30)/12)*2%,4)</f>
        <v>2.0000000000000001E-4</v>
      </c>
      <c r="D100" s="9">
        <f t="shared" si="2"/>
        <v>0.94</v>
      </c>
    </row>
    <row r="101" spans="1:6" x14ac:dyDescent="0.2">
      <c r="A101" s="28" t="s">
        <v>10</v>
      </c>
      <c r="B101" s="30" t="s">
        <v>84</v>
      </c>
      <c r="C101" s="6">
        <f>TRUNC(((15/30)/12)*8%,4)</f>
        <v>3.3E-3</v>
      </c>
      <c r="D101" s="9">
        <f t="shared" si="2"/>
        <v>15.51</v>
      </c>
    </row>
    <row r="102" spans="1:6" x14ac:dyDescent="0.2">
      <c r="A102" s="28" t="s">
        <v>12</v>
      </c>
      <c r="B102" s="30" t="s">
        <v>85</v>
      </c>
      <c r="C102" s="6">
        <f>((1+1/3)/12)*3%*(4/12)</f>
        <v>1.1111111111111109E-3</v>
      </c>
      <c r="D102" s="9">
        <f t="shared" si="2"/>
        <v>5.22</v>
      </c>
    </row>
    <row r="103" spans="1:6" x14ac:dyDescent="0.2">
      <c r="A103" s="28" t="s">
        <v>32</v>
      </c>
      <c r="B103" s="30" t="s">
        <v>86</v>
      </c>
      <c r="C103" s="6"/>
      <c r="D103" s="9">
        <f t="shared" si="2"/>
        <v>0</v>
      </c>
    </row>
    <row r="104" spans="1:6" x14ac:dyDescent="0.2">
      <c r="A104" s="73" t="s">
        <v>37</v>
      </c>
      <c r="B104" s="73"/>
      <c r="C104" s="73"/>
      <c r="D104" s="15">
        <f>SUM(D98:D103)</f>
        <v>90.77</v>
      </c>
      <c r="E104" s="13"/>
      <c r="F104" s="13"/>
    </row>
    <row r="107" spans="1:6" x14ac:dyDescent="0.2">
      <c r="A107" s="74" t="s">
        <v>87</v>
      </c>
      <c r="B107" s="74"/>
      <c r="C107" s="74"/>
      <c r="D107" s="74"/>
    </row>
    <row r="108" spans="1:6" x14ac:dyDescent="0.2">
      <c r="A108" s="3"/>
    </row>
    <row r="109" spans="1:6" x14ac:dyDescent="0.2">
      <c r="A109" s="29" t="s">
        <v>54</v>
      </c>
      <c r="B109" s="75" t="s">
        <v>88</v>
      </c>
      <c r="C109" s="75"/>
      <c r="D109" s="29" t="s">
        <v>3</v>
      </c>
    </row>
    <row r="110" spans="1:6" x14ac:dyDescent="0.2">
      <c r="A110" s="28" t="s">
        <v>4</v>
      </c>
      <c r="B110" s="83" t="s">
        <v>89</v>
      </c>
      <c r="C110" s="84"/>
      <c r="D110" s="9">
        <f>((D33+D77+D89)/220)*22*0</f>
        <v>0</v>
      </c>
    </row>
    <row r="111" spans="1:6" x14ac:dyDescent="0.2">
      <c r="A111" s="73" t="s">
        <v>16</v>
      </c>
      <c r="B111" s="73"/>
      <c r="C111" s="73"/>
      <c r="D111" s="15">
        <f>SUM(D110)</f>
        <v>0</v>
      </c>
    </row>
    <row r="114" spans="1:4" x14ac:dyDescent="0.2">
      <c r="A114" s="74" t="s">
        <v>55</v>
      </c>
      <c r="B114" s="74"/>
      <c r="C114" s="74"/>
      <c r="D114" s="74"/>
    </row>
    <row r="115" spans="1:4" x14ac:dyDescent="0.2">
      <c r="A115" s="3"/>
    </row>
    <row r="116" spans="1:4" x14ac:dyDescent="0.2">
      <c r="A116" s="29">
        <v>4</v>
      </c>
      <c r="B116" s="73" t="s">
        <v>56</v>
      </c>
      <c r="C116" s="73"/>
      <c r="D116" s="29" t="s">
        <v>3</v>
      </c>
    </row>
    <row r="117" spans="1:4" x14ac:dyDescent="0.2">
      <c r="A117" s="28" t="s">
        <v>53</v>
      </c>
      <c r="B117" s="72" t="s">
        <v>80</v>
      </c>
      <c r="C117" s="72"/>
      <c r="D117" s="10">
        <f>D104</f>
        <v>90.77</v>
      </c>
    </row>
    <row r="118" spans="1:4" x14ac:dyDescent="0.2">
      <c r="A118" s="28" t="s">
        <v>54</v>
      </c>
      <c r="B118" s="72" t="s">
        <v>88</v>
      </c>
      <c r="C118" s="72"/>
      <c r="D118" s="10">
        <f>D111</f>
        <v>0</v>
      </c>
    </row>
    <row r="119" spans="1:4" x14ac:dyDescent="0.2">
      <c r="A119" s="73" t="s">
        <v>16</v>
      </c>
      <c r="B119" s="73"/>
      <c r="C119" s="73"/>
      <c r="D119" s="15">
        <f>SUM(D117:D118)</f>
        <v>90.77</v>
      </c>
    </row>
    <row r="122" spans="1:4" x14ac:dyDescent="0.2">
      <c r="A122" s="76" t="s">
        <v>57</v>
      </c>
      <c r="B122" s="76"/>
      <c r="C122" s="76"/>
      <c r="D122" s="76"/>
    </row>
    <row r="124" spans="1:4" x14ac:dyDescent="0.2">
      <c r="A124" s="29">
        <v>5</v>
      </c>
      <c r="B124" s="85" t="s">
        <v>58</v>
      </c>
      <c r="C124" s="85"/>
      <c r="D124" s="29" t="s">
        <v>3</v>
      </c>
    </row>
    <row r="125" spans="1:4" x14ac:dyDescent="0.2">
      <c r="A125" s="28" t="s">
        <v>4</v>
      </c>
      <c r="B125" s="30" t="s">
        <v>59</v>
      </c>
      <c r="C125" s="30"/>
      <c r="D125" s="9">
        <v>108.15</v>
      </c>
    </row>
    <row r="126" spans="1:4" x14ac:dyDescent="0.2">
      <c r="A126" s="28" t="s">
        <v>6</v>
      </c>
      <c r="B126" s="30" t="s">
        <v>60</v>
      </c>
      <c r="C126" s="30"/>
      <c r="D126" s="9"/>
    </row>
    <row r="127" spans="1:4" x14ac:dyDescent="0.2">
      <c r="A127" s="28" t="s">
        <v>8</v>
      </c>
      <c r="B127" s="30" t="s">
        <v>61</v>
      </c>
      <c r="C127" s="30"/>
      <c r="D127" s="9"/>
    </row>
    <row r="128" spans="1:4" x14ac:dyDescent="0.2">
      <c r="A128" s="28" t="s">
        <v>10</v>
      </c>
      <c r="B128" s="30" t="s">
        <v>15</v>
      </c>
      <c r="C128" s="30"/>
      <c r="D128" s="9"/>
    </row>
    <row r="129" spans="1:4" x14ac:dyDescent="0.2">
      <c r="A129" s="73" t="s">
        <v>37</v>
      </c>
      <c r="B129" s="73"/>
      <c r="C129" s="73"/>
      <c r="D129" s="16">
        <f>SUM(D125:D128)</f>
        <v>108.15</v>
      </c>
    </row>
    <row r="132" spans="1:4" x14ac:dyDescent="0.2">
      <c r="A132" s="76" t="s">
        <v>62</v>
      </c>
      <c r="B132" s="76"/>
      <c r="C132" s="76"/>
      <c r="D132" s="76"/>
    </row>
    <row r="134" spans="1:4" x14ac:dyDescent="0.2">
      <c r="A134" s="29">
        <v>6</v>
      </c>
      <c r="B134" s="31" t="s">
        <v>63</v>
      </c>
      <c r="C134" s="29" t="s">
        <v>26</v>
      </c>
      <c r="D134" s="29" t="s">
        <v>3</v>
      </c>
    </row>
    <row r="135" spans="1:4" x14ac:dyDescent="0.2">
      <c r="A135" s="28" t="s">
        <v>4</v>
      </c>
      <c r="B135" s="30" t="s">
        <v>64</v>
      </c>
      <c r="C135" s="6">
        <v>0.05</v>
      </c>
      <c r="D135" s="10">
        <f>D155*C135</f>
        <v>245.00143000000003</v>
      </c>
    </row>
    <row r="136" spans="1:4" x14ac:dyDescent="0.2">
      <c r="A136" s="28" t="s">
        <v>6</v>
      </c>
      <c r="B136" s="30" t="s">
        <v>65</v>
      </c>
      <c r="C136" s="6">
        <v>0.06</v>
      </c>
      <c r="D136" s="9">
        <f>(D155+D135)*C136</f>
        <v>308.70180180000006</v>
      </c>
    </row>
    <row r="137" spans="1:4" x14ac:dyDescent="0.2">
      <c r="A137" s="28" t="s">
        <v>8</v>
      </c>
      <c r="B137" s="30" t="s">
        <v>66</v>
      </c>
      <c r="C137" s="8">
        <f>SUM(C138:C143)</f>
        <v>8.6499999999999994E-2</v>
      </c>
      <c r="D137" s="9">
        <f>(D155+D135+D136)*C137/(1-C137)</f>
        <v>516.4179567057472</v>
      </c>
    </row>
    <row r="138" spans="1:4" x14ac:dyDescent="0.2">
      <c r="A138" s="28"/>
      <c r="B138" s="30" t="s">
        <v>67</v>
      </c>
      <c r="C138" s="6"/>
      <c r="D138" s="10">
        <f>$D$157*C138</f>
        <v>0</v>
      </c>
    </row>
    <row r="139" spans="1:4" x14ac:dyDescent="0.2">
      <c r="A139" s="28"/>
      <c r="B139" s="30" t="s">
        <v>102</v>
      </c>
      <c r="C139" s="6">
        <v>6.4999999999999997E-3</v>
      </c>
      <c r="D139" s="10">
        <f t="shared" ref="D139:D143" si="3">$D$157*C139</f>
        <v>38.805973625287358</v>
      </c>
    </row>
    <row r="140" spans="1:4" x14ac:dyDescent="0.2">
      <c r="A140" s="28"/>
      <c r="B140" s="30" t="s">
        <v>103</v>
      </c>
      <c r="C140" s="6">
        <v>0.03</v>
      </c>
      <c r="D140" s="10">
        <f t="shared" si="3"/>
        <v>179.10449365517243</v>
      </c>
    </row>
    <row r="141" spans="1:4" x14ac:dyDescent="0.2">
      <c r="A141" s="28"/>
      <c r="B141" s="30" t="s">
        <v>68</v>
      </c>
      <c r="C141" s="28"/>
      <c r="D141" s="10">
        <f t="shared" si="3"/>
        <v>0</v>
      </c>
    </row>
    <row r="142" spans="1:4" x14ac:dyDescent="0.2">
      <c r="A142" s="28"/>
      <c r="B142" s="30" t="s">
        <v>69</v>
      </c>
      <c r="C142" s="6"/>
      <c r="D142" s="10">
        <f t="shared" si="3"/>
        <v>0</v>
      </c>
    </row>
    <row r="143" spans="1:4" x14ac:dyDescent="0.2">
      <c r="A143" s="28"/>
      <c r="B143" s="30" t="s">
        <v>104</v>
      </c>
      <c r="C143" s="6">
        <v>0.05</v>
      </c>
      <c r="D143" s="10">
        <f t="shared" si="3"/>
        <v>298.50748942528742</v>
      </c>
    </row>
    <row r="144" spans="1:4" ht="13.5" x14ac:dyDescent="0.2">
      <c r="A144" s="80" t="s">
        <v>37</v>
      </c>
      <c r="B144" s="81"/>
      <c r="C144" s="17">
        <f>(1+C136)*(1+C135)/(1-C137)-1</f>
        <v>0.21839080459770144</v>
      </c>
      <c r="D144" s="15">
        <f>SUM(D135:D137)</f>
        <v>1070.1211885057473</v>
      </c>
    </row>
    <row r="147" spans="1:4" x14ac:dyDescent="0.2">
      <c r="A147" s="76" t="s">
        <v>70</v>
      </c>
      <c r="B147" s="76"/>
      <c r="C147" s="76"/>
      <c r="D147" s="76"/>
    </row>
    <row r="149" spans="1:4" x14ac:dyDescent="0.2">
      <c r="A149" s="29"/>
      <c r="B149" s="73" t="s">
        <v>71</v>
      </c>
      <c r="C149" s="73"/>
      <c r="D149" s="29" t="s">
        <v>3</v>
      </c>
    </row>
    <row r="150" spans="1:4" x14ac:dyDescent="0.2">
      <c r="A150" s="29" t="s">
        <v>4</v>
      </c>
      <c r="B150" s="72" t="s">
        <v>1</v>
      </c>
      <c r="C150" s="72"/>
      <c r="D150" s="18">
        <f>D33</f>
        <v>2544.19</v>
      </c>
    </row>
    <row r="151" spans="1:4" x14ac:dyDescent="0.2">
      <c r="A151" s="29" t="s">
        <v>6</v>
      </c>
      <c r="B151" s="72" t="s">
        <v>17</v>
      </c>
      <c r="C151" s="72"/>
      <c r="D151" s="18">
        <f>D77</f>
        <v>1979.8786</v>
      </c>
    </row>
    <row r="152" spans="1:4" x14ac:dyDescent="0.2">
      <c r="A152" s="29" t="s">
        <v>8</v>
      </c>
      <c r="B152" s="72" t="s">
        <v>45</v>
      </c>
      <c r="C152" s="72"/>
      <c r="D152" s="18">
        <f>D89</f>
        <v>177.04000000000002</v>
      </c>
    </row>
    <row r="153" spans="1:4" x14ac:dyDescent="0.2">
      <c r="A153" s="29" t="s">
        <v>10</v>
      </c>
      <c r="B153" s="72" t="s">
        <v>52</v>
      </c>
      <c r="C153" s="72"/>
      <c r="D153" s="18">
        <f>D119</f>
        <v>90.77</v>
      </c>
    </row>
    <row r="154" spans="1:4" x14ac:dyDescent="0.2">
      <c r="A154" s="29" t="s">
        <v>12</v>
      </c>
      <c r="B154" s="72" t="s">
        <v>57</v>
      </c>
      <c r="C154" s="72"/>
      <c r="D154" s="18">
        <f>D129</f>
        <v>108.15</v>
      </c>
    </row>
    <row r="155" spans="1:4" x14ac:dyDescent="0.2">
      <c r="A155" s="73" t="s">
        <v>101</v>
      </c>
      <c r="B155" s="73"/>
      <c r="C155" s="73"/>
      <c r="D155" s="19">
        <f>SUM(D150:D154)</f>
        <v>4900.0286000000006</v>
      </c>
    </row>
    <row r="156" spans="1:4" x14ac:dyDescent="0.2">
      <c r="A156" s="29" t="s">
        <v>32</v>
      </c>
      <c r="B156" s="72" t="s">
        <v>72</v>
      </c>
      <c r="C156" s="72"/>
      <c r="D156" s="20">
        <f>D144</f>
        <v>1070.1211885057473</v>
      </c>
    </row>
    <row r="157" spans="1:4" x14ac:dyDescent="0.2">
      <c r="A157" s="73" t="s">
        <v>73</v>
      </c>
      <c r="B157" s="73"/>
      <c r="C157" s="73"/>
      <c r="D157" s="19">
        <f>SUM(D155:D156)</f>
        <v>5970.1497885057479</v>
      </c>
    </row>
  </sheetData>
  <mergeCells count="72">
    <mergeCell ref="A157:C157"/>
    <mergeCell ref="A132:D132"/>
    <mergeCell ref="A144:B144"/>
    <mergeCell ref="A147:D147"/>
    <mergeCell ref="B149:C149"/>
    <mergeCell ref="B150:C150"/>
    <mergeCell ref="B151:C151"/>
    <mergeCell ref="B152:C152"/>
    <mergeCell ref="B153:C153"/>
    <mergeCell ref="B154:C154"/>
    <mergeCell ref="A155:C155"/>
    <mergeCell ref="B156:C156"/>
    <mergeCell ref="A129:C129"/>
    <mergeCell ref="A107:D107"/>
    <mergeCell ref="B109:C109"/>
    <mergeCell ref="B110:C110"/>
    <mergeCell ref="A111:C111"/>
    <mergeCell ref="A114:D114"/>
    <mergeCell ref="B116:C116"/>
    <mergeCell ref="B117:C117"/>
    <mergeCell ref="B118:C118"/>
    <mergeCell ref="A119:C119"/>
    <mergeCell ref="A122:D122"/>
    <mergeCell ref="B124:C124"/>
    <mergeCell ref="A104:C104"/>
    <mergeCell ref="B73:C73"/>
    <mergeCell ref="B74:C74"/>
    <mergeCell ref="B75:C75"/>
    <mergeCell ref="B76:C76"/>
    <mergeCell ref="A77:C77"/>
    <mergeCell ref="A80:D80"/>
    <mergeCell ref="B82:C82"/>
    <mergeCell ref="A89:C89"/>
    <mergeCell ref="A92:D92"/>
    <mergeCell ref="A95:D95"/>
    <mergeCell ref="B97:C97"/>
    <mergeCell ref="A71:D71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B67:C67"/>
    <mergeCell ref="A68:C68"/>
    <mergeCell ref="B40:C40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A23:D23"/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topLeftCell="A22" zoomScale="115" zoomScaleNormal="115" workbookViewId="0">
      <selection activeCell="D126" sqref="D126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77" t="s">
        <v>0</v>
      </c>
      <c r="B1" s="77"/>
      <c r="C1" s="77"/>
      <c r="D1" s="77"/>
    </row>
    <row r="2" spans="1:4" ht="15.75" x14ac:dyDescent="0.25">
      <c r="A2" s="22"/>
      <c r="B2" s="22"/>
      <c r="C2" s="22"/>
      <c r="D2" s="22"/>
    </row>
    <row r="3" spans="1:4" x14ac:dyDescent="0.2">
      <c r="A3" s="79" t="s">
        <v>90</v>
      </c>
      <c r="B3" s="79"/>
      <c r="C3" s="79"/>
      <c r="D3" s="79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25" t="s">
        <v>91</v>
      </c>
      <c r="C5" s="23"/>
      <c r="D5" s="24"/>
    </row>
    <row r="6" spans="1:4" x14ac:dyDescent="0.2">
      <c r="A6" s="5" t="s">
        <v>6</v>
      </c>
      <c r="B6" s="25" t="s">
        <v>92</v>
      </c>
      <c r="C6" s="23"/>
      <c r="D6" s="24"/>
    </row>
    <row r="7" spans="1:4" x14ac:dyDescent="0.2">
      <c r="A7" s="5" t="s">
        <v>8</v>
      </c>
      <c r="B7" s="25" t="s">
        <v>93</v>
      </c>
      <c r="C7" s="23"/>
      <c r="D7" s="24"/>
    </row>
    <row r="8" spans="1:4" x14ac:dyDescent="0.2">
      <c r="A8" s="5" t="s">
        <v>10</v>
      </c>
      <c r="B8" s="25" t="s">
        <v>94</v>
      </c>
      <c r="C8" s="23"/>
      <c r="D8" s="21">
        <v>5</v>
      </c>
    </row>
    <row r="10" spans="1:4" x14ac:dyDescent="0.2">
      <c r="A10" s="79" t="s">
        <v>95</v>
      </c>
      <c r="B10" s="79"/>
      <c r="C10" s="79"/>
      <c r="D10" s="79"/>
    </row>
    <row r="11" spans="1:4" x14ac:dyDescent="0.2">
      <c r="A11" s="2"/>
      <c r="B11" s="2"/>
      <c r="C11" s="2"/>
      <c r="D11" s="2"/>
    </row>
    <row r="12" spans="1:4" ht="38.25" x14ac:dyDescent="0.2">
      <c r="A12" s="86" t="s">
        <v>96</v>
      </c>
      <c r="B12" s="86"/>
      <c r="C12" s="28" t="s">
        <v>97</v>
      </c>
      <c r="D12" s="26" t="s">
        <v>98</v>
      </c>
    </row>
    <row r="13" spans="1:4" ht="25.5" customHeight="1" x14ac:dyDescent="0.2">
      <c r="A13" s="80" t="s">
        <v>116</v>
      </c>
      <c r="B13" s="82"/>
      <c r="C13" s="33" t="s">
        <v>108</v>
      </c>
      <c r="D13" s="34" t="s">
        <v>111</v>
      </c>
    </row>
    <row r="15" spans="1:4" x14ac:dyDescent="0.2">
      <c r="A15" s="79" t="s">
        <v>74</v>
      </c>
      <c r="B15" s="79"/>
      <c r="C15" s="79"/>
      <c r="D15" s="79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89" t="s">
        <v>112</v>
      </c>
      <c r="D17" s="90"/>
    </row>
    <row r="18" spans="1:4" x14ac:dyDescent="0.2">
      <c r="A18" s="5">
        <v>2</v>
      </c>
      <c r="B18" s="5" t="s">
        <v>99</v>
      </c>
      <c r="C18" s="89" t="s">
        <v>110</v>
      </c>
      <c r="D18" s="90"/>
    </row>
    <row r="19" spans="1:4" x14ac:dyDescent="0.2">
      <c r="A19" s="5">
        <v>3</v>
      </c>
      <c r="B19" s="5" t="s">
        <v>76</v>
      </c>
      <c r="C19" s="91">
        <v>1774.94</v>
      </c>
      <c r="D19" s="92"/>
    </row>
    <row r="20" spans="1:4" x14ac:dyDescent="0.2">
      <c r="A20" s="5">
        <v>4</v>
      </c>
      <c r="B20" s="5" t="s">
        <v>77</v>
      </c>
      <c r="C20" s="89" t="s">
        <v>109</v>
      </c>
      <c r="D20" s="90"/>
    </row>
    <row r="21" spans="1:4" x14ac:dyDescent="0.2">
      <c r="A21" s="5">
        <v>5</v>
      </c>
      <c r="B21" s="5" t="s">
        <v>78</v>
      </c>
      <c r="C21" s="93">
        <v>43101</v>
      </c>
      <c r="D21" s="90"/>
    </row>
    <row r="23" spans="1:4" x14ac:dyDescent="0.2">
      <c r="A23" s="79" t="s">
        <v>1</v>
      </c>
      <c r="B23" s="79"/>
      <c r="C23" s="79"/>
      <c r="D23" s="79"/>
    </row>
    <row r="25" spans="1:4" x14ac:dyDescent="0.2">
      <c r="A25" s="29">
        <v>1</v>
      </c>
      <c r="B25" s="73" t="s">
        <v>2</v>
      </c>
      <c r="C25" s="73"/>
      <c r="D25" s="29" t="s">
        <v>3</v>
      </c>
    </row>
    <row r="26" spans="1:4" x14ac:dyDescent="0.2">
      <c r="A26" s="28" t="s">
        <v>4</v>
      </c>
      <c r="B26" s="72" t="s">
        <v>5</v>
      </c>
      <c r="C26" s="72"/>
      <c r="D26" s="9">
        <v>2544.19</v>
      </c>
    </row>
    <row r="27" spans="1:4" x14ac:dyDescent="0.2">
      <c r="A27" s="28" t="s">
        <v>6</v>
      </c>
      <c r="B27" s="72" t="s">
        <v>7</v>
      </c>
      <c r="C27" s="72"/>
      <c r="D27" s="9"/>
    </row>
    <row r="28" spans="1:4" x14ac:dyDescent="0.2">
      <c r="A28" s="28" t="s">
        <v>8</v>
      </c>
      <c r="B28" s="72" t="s">
        <v>9</v>
      </c>
      <c r="C28" s="72"/>
      <c r="D28" s="9"/>
    </row>
    <row r="29" spans="1:4" x14ac:dyDescent="0.2">
      <c r="A29" s="28" t="s">
        <v>10</v>
      </c>
      <c r="B29" s="72" t="s">
        <v>11</v>
      </c>
      <c r="C29" s="72"/>
      <c r="D29" s="9"/>
    </row>
    <row r="30" spans="1:4" x14ac:dyDescent="0.2">
      <c r="A30" s="28" t="s">
        <v>12</v>
      </c>
      <c r="B30" s="72" t="s">
        <v>13</v>
      </c>
      <c r="C30" s="72"/>
      <c r="D30" s="9"/>
    </row>
    <row r="31" spans="1:4" x14ac:dyDescent="0.2">
      <c r="A31" s="28"/>
      <c r="B31" s="72"/>
      <c r="C31" s="72"/>
      <c r="D31" s="9"/>
    </row>
    <row r="32" spans="1:4" x14ac:dyDescent="0.2">
      <c r="A32" s="28" t="s">
        <v>14</v>
      </c>
      <c r="B32" s="72" t="s">
        <v>15</v>
      </c>
      <c r="C32" s="72"/>
      <c r="D32" s="9"/>
    </row>
    <row r="33" spans="1:4" x14ac:dyDescent="0.2">
      <c r="A33" s="73" t="s">
        <v>16</v>
      </c>
      <c r="B33" s="73"/>
      <c r="C33" s="73"/>
      <c r="D33" s="16">
        <f>SUM(D26:D32)</f>
        <v>2544.19</v>
      </c>
    </row>
    <row r="36" spans="1:4" x14ac:dyDescent="0.2">
      <c r="A36" s="76" t="s">
        <v>17</v>
      </c>
      <c r="B36" s="76"/>
      <c r="C36" s="76"/>
      <c r="D36" s="76"/>
    </row>
    <row r="37" spans="1:4" x14ac:dyDescent="0.2">
      <c r="A37" s="3"/>
    </row>
    <row r="38" spans="1:4" x14ac:dyDescent="0.2">
      <c r="A38" s="74" t="s">
        <v>18</v>
      </c>
      <c r="B38" s="74"/>
      <c r="C38" s="74"/>
      <c r="D38" s="74"/>
    </row>
    <row r="40" spans="1:4" x14ac:dyDescent="0.2">
      <c r="A40" s="29" t="s">
        <v>19</v>
      </c>
      <c r="B40" s="73" t="s">
        <v>20</v>
      </c>
      <c r="C40" s="73"/>
      <c r="D40" s="29" t="s">
        <v>3</v>
      </c>
    </row>
    <row r="41" spans="1:4" x14ac:dyDescent="0.2">
      <c r="A41" s="28" t="s">
        <v>4</v>
      </c>
      <c r="B41" s="30" t="s">
        <v>21</v>
      </c>
      <c r="C41" s="8">
        <f>TRUNC(1/12,4)</f>
        <v>8.3299999999999999E-2</v>
      </c>
      <c r="D41" s="9">
        <f>TRUNC($D$33*C41,2)</f>
        <v>211.93</v>
      </c>
    </row>
    <row r="42" spans="1:4" x14ac:dyDescent="0.2">
      <c r="A42" s="28" t="s">
        <v>6</v>
      </c>
      <c r="B42" s="30" t="s">
        <v>22</v>
      </c>
      <c r="C42" s="8">
        <f>TRUNC(((1+1/3)/12),4)</f>
        <v>0.1111</v>
      </c>
      <c r="D42" s="9">
        <f>TRUNC($D$33*C42,2)</f>
        <v>282.64999999999998</v>
      </c>
    </row>
    <row r="43" spans="1:4" x14ac:dyDescent="0.2">
      <c r="A43" s="73" t="s">
        <v>16</v>
      </c>
      <c r="B43" s="73"/>
      <c r="C43" s="27">
        <f>SUM(C41:C42)</f>
        <v>0.19440000000000002</v>
      </c>
      <c r="D43" s="15">
        <f>SUM(D41:D42)</f>
        <v>494.58</v>
      </c>
    </row>
    <row r="46" spans="1:4" x14ac:dyDescent="0.2">
      <c r="A46" s="78" t="s">
        <v>23</v>
      </c>
      <c r="B46" s="78"/>
      <c r="C46" s="78"/>
      <c r="D46" s="78"/>
    </row>
    <row r="48" spans="1:4" x14ac:dyDescent="0.2">
      <c r="A48" s="29" t="s">
        <v>24</v>
      </c>
      <c r="B48" s="29" t="s">
        <v>25</v>
      </c>
      <c r="C48" s="29" t="s">
        <v>26</v>
      </c>
      <c r="D48" s="29" t="s">
        <v>3</v>
      </c>
    </row>
    <row r="49" spans="1:4" x14ac:dyDescent="0.2">
      <c r="A49" s="28" t="s">
        <v>4</v>
      </c>
      <c r="B49" s="30" t="s">
        <v>27</v>
      </c>
      <c r="C49" s="6">
        <v>0.2</v>
      </c>
      <c r="D49" s="9">
        <f>TRUNC(($D$33+$D$43)*C49,2)</f>
        <v>607.75</v>
      </c>
    </row>
    <row r="50" spans="1:4" x14ac:dyDescent="0.2">
      <c r="A50" s="28" t="s">
        <v>6</v>
      </c>
      <c r="B50" s="30" t="s">
        <v>28</v>
      </c>
      <c r="C50" s="6">
        <v>2.5000000000000001E-2</v>
      </c>
      <c r="D50" s="9">
        <f t="shared" ref="D50:D56" si="0">TRUNC(($D$33+$D$43)*C50,2)</f>
        <v>75.959999999999994</v>
      </c>
    </row>
    <row r="51" spans="1:4" x14ac:dyDescent="0.2">
      <c r="A51" s="28" t="s">
        <v>8</v>
      </c>
      <c r="B51" s="30" t="s">
        <v>29</v>
      </c>
      <c r="C51" s="12">
        <v>0.03</v>
      </c>
      <c r="D51" s="9">
        <f t="shared" si="0"/>
        <v>91.16</v>
      </c>
    </row>
    <row r="52" spans="1:4" x14ac:dyDescent="0.2">
      <c r="A52" s="28" t="s">
        <v>10</v>
      </c>
      <c r="B52" s="30" t="s">
        <v>30</v>
      </c>
      <c r="C52" s="6">
        <v>1.4999999999999999E-2</v>
      </c>
      <c r="D52" s="9">
        <f t="shared" si="0"/>
        <v>45.58</v>
      </c>
    </row>
    <row r="53" spans="1:4" x14ac:dyDescent="0.2">
      <c r="A53" s="28" t="s">
        <v>12</v>
      </c>
      <c r="B53" s="30" t="s">
        <v>31</v>
      </c>
      <c r="C53" s="6">
        <v>0.01</v>
      </c>
      <c r="D53" s="9">
        <f t="shared" si="0"/>
        <v>30.38</v>
      </c>
    </row>
    <row r="54" spans="1:4" x14ac:dyDescent="0.2">
      <c r="A54" s="28" t="s">
        <v>32</v>
      </c>
      <c r="B54" s="30" t="s">
        <v>33</v>
      </c>
      <c r="C54" s="6">
        <v>6.0000000000000001E-3</v>
      </c>
      <c r="D54" s="9">
        <f t="shared" si="0"/>
        <v>18.23</v>
      </c>
    </row>
    <row r="55" spans="1:4" x14ac:dyDescent="0.2">
      <c r="A55" s="28" t="s">
        <v>14</v>
      </c>
      <c r="B55" s="30" t="s">
        <v>34</v>
      </c>
      <c r="C55" s="6">
        <v>2E-3</v>
      </c>
      <c r="D55" s="9">
        <f t="shared" si="0"/>
        <v>6.07</v>
      </c>
    </row>
    <row r="56" spans="1:4" x14ac:dyDescent="0.2">
      <c r="A56" s="28" t="s">
        <v>35</v>
      </c>
      <c r="B56" s="30" t="s">
        <v>36</v>
      </c>
      <c r="C56" s="6">
        <v>0.08</v>
      </c>
      <c r="D56" s="9">
        <f t="shared" si="0"/>
        <v>243.1</v>
      </c>
    </row>
    <row r="57" spans="1:4" x14ac:dyDescent="0.2">
      <c r="A57" s="73" t="s">
        <v>37</v>
      </c>
      <c r="B57" s="73"/>
      <c r="C57" s="11">
        <f>SUM(C49:C56)</f>
        <v>0.36800000000000005</v>
      </c>
      <c r="D57" s="15">
        <f>SUM(D49:D56)</f>
        <v>1118.23</v>
      </c>
    </row>
    <row r="60" spans="1:4" x14ac:dyDescent="0.2">
      <c r="A60" s="74" t="s">
        <v>38</v>
      </c>
      <c r="B60" s="74"/>
      <c r="C60" s="74"/>
      <c r="D60" s="74"/>
    </row>
    <row r="62" spans="1:4" x14ac:dyDescent="0.2">
      <c r="A62" s="29" t="s">
        <v>39</v>
      </c>
      <c r="B62" s="75" t="s">
        <v>40</v>
      </c>
      <c r="C62" s="75"/>
      <c r="D62" s="29" t="s">
        <v>3</v>
      </c>
    </row>
    <row r="63" spans="1:4" x14ac:dyDescent="0.2">
      <c r="A63" s="28" t="s">
        <v>4</v>
      </c>
      <c r="B63" s="72" t="s">
        <v>41</v>
      </c>
      <c r="C63" s="72"/>
      <c r="D63" s="9">
        <f>(22*2*4)-(D26*0.06)</f>
        <v>23.348600000000005</v>
      </c>
    </row>
    <row r="64" spans="1:4" x14ac:dyDescent="0.2">
      <c r="A64" s="28" t="s">
        <v>6</v>
      </c>
      <c r="B64" s="72" t="s">
        <v>42</v>
      </c>
      <c r="C64" s="72"/>
      <c r="D64" s="9">
        <f>13.1*22*0.8</f>
        <v>230.56</v>
      </c>
    </row>
    <row r="65" spans="1:5" x14ac:dyDescent="0.2">
      <c r="A65" s="28" t="s">
        <v>8</v>
      </c>
      <c r="B65" s="72" t="s">
        <v>105</v>
      </c>
      <c r="C65" s="72"/>
      <c r="D65" s="9">
        <v>100</v>
      </c>
    </row>
    <row r="66" spans="1:5" x14ac:dyDescent="0.2">
      <c r="A66" s="28" t="s">
        <v>10</v>
      </c>
      <c r="B66" s="72" t="s">
        <v>106</v>
      </c>
      <c r="C66" s="72"/>
      <c r="D66" s="9">
        <v>10</v>
      </c>
    </row>
    <row r="67" spans="1:5" x14ac:dyDescent="0.2">
      <c r="A67" s="28" t="s">
        <v>12</v>
      </c>
      <c r="B67" s="72" t="s">
        <v>107</v>
      </c>
      <c r="C67" s="72"/>
      <c r="D67" s="9">
        <v>3.16</v>
      </c>
    </row>
    <row r="68" spans="1:5" x14ac:dyDescent="0.2">
      <c r="A68" s="73" t="s">
        <v>16</v>
      </c>
      <c r="B68" s="73"/>
      <c r="C68" s="73"/>
      <c r="D68" s="15">
        <f>SUM(D63:D67)</f>
        <v>367.0686</v>
      </c>
    </row>
    <row r="71" spans="1:5" x14ac:dyDescent="0.2">
      <c r="A71" s="74" t="s">
        <v>43</v>
      </c>
      <c r="B71" s="74"/>
      <c r="C71" s="74"/>
      <c r="D71" s="74"/>
    </row>
    <row r="73" spans="1:5" x14ac:dyDescent="0.2">
      <c r="A73" s="29">
        <v>2</v>
      </c>
      <c r="B73" s="75" t="s">
        <v>44</v>
      </c>
      <c r="C73" s="75"/>
      <c r="D73" s="29" t="s">
        <v>3</v>
      </c>
    </row>
    <row r="74" spans="1:5" x14ac:dyDescent="0.2">
      <c r="A74" s="28" t="s">
        <v>19</v>
      </c>
      <c r="B74" s="72" t="s">
        <v>20</v>
      </c>
      <c r="C74" s="72"/>
      <c r="D74" s="10">
        <f>D43</f>
        <v>494.58</v>
      </c>
    </row>
    <row r="75" spans="1:5" x14ac:dyDescent="0.2">
      <c r="A75" s="28" t="s">
        <v>24</v>
      </c>
      <c r="B75" s="72" t="s">
        <v>25</v>
      </c>
      <c r="C75" s="72"/>
      <c r="D75" s="10">
        <f>D57</f>
        <v>1118.23</v>
      </c>
    </row>
    <row r="76" spans="1:5" x14ac:dyDescent="0.2">
      <c r="A76" s="28" t="s">
        <v>39</v>
      </c>
      <c r="B76" s="72" t="s">
        <v>40</v>
      </c>
      <c r="C76" s="72"/>
      <c r="D76" s="10">
        <f>D68</f>
        <v>367.0686</v>
      </c>
    </row>
    <row r="77" spans="1:5" x14ac:dyDescent="0.2">
      <c r="A77" s="73" t="s">
        <v>16</v>
      </c>
      <c r="B77" s="73"/>
      <c r="C77" s="73"/>
      <c r="D77" s="15">
        <f>SUM(D74:D76)</f>
        <v>1979.8786</v>
      </c>
    </row>
    <row r="78" spans="1:5" x14ac:dyDescent="0.2">
      <c r="A78" s="4"/>
      <c r="E78" s="14"/>
    </row>
    <row r="80" spans="1:5" x14ac:dyDescent="0.2">
      <c r="A80" s="76" t="s">
        <v>45</v>
      </c>
      <c r="B80" s="76"/>
      <c r="C80" s="76"/>
      <c r="D80" s="76"/>
      <c r="E80" s="13"/>
    </row>
    <row r="81" spans="1:5" ht="12.75" customHeight="1" x14ac:dyDescent="0.2">
      <c r="E81" s="14"/>
    </row>
    <row r="82" spans="1:5" x14ac:dyDescent="0.2">
      <c r="A82" s="29">
        <v>3</v>
      </c>
      <c r="B82" s="75" t="s">
        <v>46</v>
      </c>
      <c r="C82" s="75"/>
      <c r="D82" s="29" t="s">
        <v>3</v>
      </c>
    </row>
    <row r="83" spans="1:5" x14ac:dyDescent="0.2">
      <c r="A83" s="28" t="s">
        <v>4</v>
      </c>
      <c r="B83" s="7" t="s">
        <v>47</v>
      </c>
      <c r="C83" s="6">
        <f>TRUNC(((1/12)*0%),4)</f>
        <v>0</v>
      </c>
      <c r="D83" s="9">
        <f>TRUNC($D$33*C83,2)</f>
        <v>0</v>
      </c>
    </row>
    <row r="84" spans="1:5" x14ac:dyDescent="0.2">
      <c r="A84" s="28" t="s">
        <v>6</v>
      </c>
      <c r="B84" s="7" t="s">
        <v>48</v>
      </c>
      <c r="C84" s="6">
        <v>0.08</v>
      </c>
      <c r="D84" s="9">
        <f>TRUNC(D83*C84,2)</f>
        <v>0</v>
      </c>
    </row>
    <row r="85" spans="1:5" x14ac:dyDescent="0.2">
      <c r="A85" s="28" t="s">
        <v>8</v>
      </c>
      <c r="B85" s="7" t="s">
        <v>49</v>
      </c>
      <c r="C85" s="6">
        <f>TRUNC(8%*0%*50%,4)</f>
        <v>0</v>
      </c>
      <c r="D85" s="9">
        <f>TRUNC($D$33*C85,2)</f>
        <v>0</v>
      </c>
    </row>
    <row r="86" spans="1:5" x14ac:dyDescent="0.2">
      <c r="A86" s="28" t="s">
        <v>10</v>
      </c>
      <c r="B86" s="7" t="s">
        <v>50</v>
      </c>
      <c r="C86" s="6">
        <f>TRUNC(((7/30)/12)*0%,4)</f>
        <v>0</v>
      </c>
      <c r="D86" s="9">
        <f>TRUNC($D$33*C86,2)</f>
        <v>0</v>
      </c>
    </row>
    <row r="87" spans="1:5" ht="25.5" x14ac:dyDescent="0.2">
      <c r="A87" s="28" t="s">
        <v>12</v>
      </c>
      <c r="B87" s="7" t="s">
        <v>100</v>
      </c>
      <c r="C87" s="6">
        <f>C57</f>
        <v>0.36800000000000005</v>
      </c>
      <c r="D87" s="9">
        <f>TRUNC(D86*C87,2)</f>
        <v>0</v>
      </c>
    </row>
    <row r="88" spans="1:5" x14ac:dyDescent="0.2">
      <c r="A88" s="28" t="s">
        <v>32</v>
      </c>
      <c r="B88" s="7" t="s">
        <v>51</v>
      </c>
      <c r="C88" s="6">
        <f>TRUNC(8%*0%*50%,4)</f>
        <v>0</v>
      </c>
      <c r="D88" s="9">
        <f t="shared" ref="D88" si="1">TRUNC($D$33*C88,2)</f>
        <v>0</v>
      </c>
    </row>
    <row r="89" spans="1:5" x14ac:dyDescent="0.2">
      <c r="A89" s="80" t="s">
        <v>16</v>
      </c>
      <c r="B89" s="81"/>
      <c r="C89" s="82"/>
      <c r="D89" s="15">
        <f>SUM(D83:D88)</f>
        <v>0</v>
      </c>
    </row>
    <row r="92" spans="1:5" x14ac:dyDescent="0.2">
      <c r="A92" s="76" t="s">
        <v>52</v>
      </c>
      <c r="B92" s="76"/>
      <c r="C92" s="76"/>
      <c r="D92" s="76"/>
    </row>
    <row r="95" spans="1:5" x14ac:dyDescent="0.2">
      <c r="A95" s="74" t="s">
        <v>79</v>
      </c>
      <c r="B95" s="74"/>
      <c r="C95" s="74"/>
      <c r="D95" s="74"/>
    </row>
    <row r="96" spans="1:5" x14ac:dyDescent="0.2">
      <c r="A96" s="3"/>
    </row>
    <row r="97" spans="1:6" x14ac:dyDescent="0.2">
      <c r="A97" s="29" t="s">
        <v>53</v>
      </c>
      <c r="B97" s="75" t="s">
        <v>80</v>
      </c>
      <c r="C97" s="75"/>
      <c r="D97" s="29" t="s">
        <v>3</v>
      </c>
    </row>
    <row r="98" spans="1:6" x14ac:dyDescent="0.2">
      <c r="A98" s="28" t="s">
        <v>4</v>
      </c>
      <c r="B98" s="30" t="s">
        <v>81</v>
      </c>
      <c r="C98" s="6">
        <f>TRUNC(((1+1/3)/12)/12,4)*0</f>
        <v>0</v>
      </c>
      <c r="D98" s="9">
        <f>TRUNC(($D$33+$D$77+$D$89)*C98,2)</f>
        <v>0</v>
      </c>
    </row>
    <row r="99" spans="1:6" x14ac:dyDescent="0.2">
      <c r="A99" s="28" t="s">
        <v>6</v>
      </c>
      <c r="B99" s="30" t="s">
        <v>82</v>
      </c>
      <c r="C99" s="6">
        <f>TRUNC(((0/30)/12),4)</f>
        <v>0</v>
      </c>
      <c r="D99" s="9">
        <f t="shared" ref="D99:D103" si="2">TRUNC(($D$33+$D$77+$D$89)*C99,2)</f>
        <v>0</v>
      </c>
    </row>
    <row r="100" spans="1:6" x14ac:dyDescent="0.2">
      <c r="A100" s="28" t="s">
        <v>8</v>
      </c>
      <c r="B100" s="30" t="s">
        <v>83</v>
      </c>
      <c r="C100" s="6">
        <f>TRUNC(((5/30)/12)*0%,4)</f>
        <v>0</v>
      </c>
      <c r="D100" s="9">
        <f t="shared" si="2"/>
        <v>0</v>
      </c>
    </row>
    <row r="101" spans="1:6" x14ac:dyDescent="0.2">
      <c r="A101" s="28" t="s">
        <v>10</v>
      </c>
      <c r="B101" s="30" t="s">
        <v>84</v>
      </c>
      <c r="C101" s="6">
        <f>TRUNC(((15/30)/12)*0%,4)</f>
        <v>0</v>
      </c>
      <c r="D101" s="9">
        <f t="shared" si="2"/>
        <v>0</v>
      </c>
    </row>
    <row r="102" spans="1:6" x14ac:dyDescent="0.2">
      <c r="A102" s="28" t="s">
        <v>12</v>
      </c>
      <c r="B102" s="30" t="s">
        <v>85</v>
      </c>
      <c r="C102" s="6">
        <f>((1+1/3)/12)*0%*(4/12)</f>
        <v>0</v>
      </c>
      <c r="D102" s="9">
        <f t="shared" si="2"/>
        <v>0</v>
      </c>
    </row>
    <row r="103" spans="1:6" x14ac:dyDescent="0.2">
      <c r="A103" s="28" t="s">
        <v>32</v>
      </c>
      <c r="B103" s="30" t="s">
        <v>86</v>
      </c>
      <c r="C103" s="6"/>
      <c r="D103" s="9">
        <f t="shared" si="2"/>
        <v>0</v>
      </c>
    </row>
    <row r="104" spans="1:6" x14ac:dyDescent="0.2">
      <c r="A104" s="73" t="s">
        <v>37</v>
      </c>
      <c r="B104" s="73"/>
      <c r="C104" s="73"/>
      <c r="D104" s="15">
        <f>SUM(D98:D103)</f>
        <v>0</v>
      </c>
      <c r="E104" s="13"/>
      <c r="F104" s="13"/>
    </row>
    <row r="107" spans="1:6" x14ac:dyDescent="0.2">
      <c r="A107" s="74" t="s">
        <v>87</v>
      </c>
      <c r="B107" s="74"/>
      <c r="C107" s="74"/>
      <c r="D107" s="74"/>
    </row>
    <row r="108" spans="1:6" x14ac:dyDescent="0.2">
      <c r="A108" s="3"/>
    </row>
    <row r="109" spans="1:6" x14ac:dyDescent="0.2">
      <c r="A109" s="29" t="s">
        <v>54</v>
      </c>
      <c r="B109" s="75" t="s">
        <v>88</v>
      </c>
      <c r="C109" s="75"/>
      <c r="D109" s="29" t="s">
        <v>3</v>
      </c>
    </row>
    <row r="110" spans="1:6" x14ac:dyDescent="0.2">
      <c r="A110" s="28" t="s">
        <v>4</v>
      </c>
      <c r="B110" s="83" t="s">
        <v>89</v>
      </c>
      <c r="C110" s="84"/>
      <c r="D110" s="9">
        <f>((D33+D77+D89)/220)*22*0</f>
        <v>0</v>
      </c>
    </row>
    <row r="111" spans="1:6" x14ac:dyDescent="0.2">
      <c r="A111" s="73" t="s">
        <v>16</v>
      </c>
      <c r="B111" s="73"/>
      <c r="C111" s="73"/>
      <c r="D111" s="15">
        <f>SUM(D110)</f>
        <v>0</v>
      </c>
    </row>
    <row r="114" spans="1:4" x14ac:dyDescent="0.2">
      <c r="A114" s="74" t="s">
        <v>55</v>
      </c>
      <c r="B114" s="74"/>
      <c r="C114" s="74"/>
      <c r="D114" s="74"/>
    </row>
    <row r="115" spans="1:4" x14ac:dyDescent="0.2">
      <c r="A115" s="3"/>
    </row>
    <row r="116" spans="1:4" x14ac:dyDescent="0.2">
      <c r="A116" s="29">
        <v>4</v>
      </c>
      <c r="B116" s="73" t="s">
        <v>56</v>
      </c>
      <c r="C116" s="73"/>
      <c r="D116" s="29" t="s">
        <v>3</v>
      </c>
    </row>
    <row r="117" spans="1:4" x14ac:dyDescent="0.2">
      <c r="A117" s="28" t="s">
        <v>53</v>
      </c>
      <c r="B117" s="72" t="s">
        <v>80</v>
      </c>
      <c r="C117" s="72"/>
      <c r="D117" s="10">
        <f>D104</f>
        <v>0</v>
      </c>
    </row>
    <row r="118" spans="1:4" x14ac:dyDescent="0.2">
      <c r="A118" s="28" t="s">
        <v>54</v>
      </c>
      <c r="B118" s="72" t="s">
        <v>88</v>
      </c>
      <c r="C118" s="72"/>
      <c r="D118" s="10">
        <f>D111</f>
        <v>0</v>
      </c>
    </row>
    <row r="119" spans="1:4" x14ac:dyDescent="0.2">
      <c r="A119" s="73" t="s">
        <v>16</v>
      </c>
      <c r="B119" s="73"/>
      <c r="C119" s="73"/>
      <c r="D119" s="15">
        <f>SUM(D117:D118)</f>
        <v>0</v>
      </c>
    </row>
    <row r="122" spans="1:4" x14ac:dyDescent="0.2">
      <c r="A122" s="76" t="s">
        <v>57</v>
      </c>
      <c r="B122" s="76"/>
      <c r="C122" s="76"/>
      <c r="D122" s="76"/>
    </row>
    <row r="124" spans="1:4" x14ac:dyDescent="0.2">
      <c r="A124" s="29">
        <v>5</v>
      </c>
      <c r="B124" s="85" t="s">
        <v>58</v>
      </c>
      <c r="C124" s="85"/>
      <c r="D124" s="29" t="s">
        <v>3</v>
      </c>
    </row>
    <row r="125" spans="1:4" x14ac:dyDescent="0.2">
      <c r="A125" s="28" t="s">
        <v>4</v>
      </c>
      <c r="B125" s="30" t="s">
        <v>59</v>
      </c>
      <c r="C125" s="30"/>
      <c r="D125" s="9">
        <v>57.94</v>
      </c>
    </row>
    <row r="126" spans="1:4" x14ac:dyDescent="0.2">
      <c r="A126" s="28" t="s">
        <v>6</v>
      </c>
      <c r="B126" s="30" t="s">
        <v>60</v>
      </c>
      <c r="C126" s="30"/>
      <c r="D126" s="9"/>
    </row>
    <row r="127" spans="1:4" x14ac:dyDescent="0.2">
      <c r="A127" s="28" t="s">
        <v>8</v>
      </c>
      <c r="B127" s="30" t="s">
        <v>61</v>
      </c>
      <c r="C127" s="30"/>
      <c r="D127" s="9"/>
    </row>
    <row r="128" spans="1:4" x14ac:dyDescent="0.2">
      <c r="A128" s="28" t="s">
        <v>10</v>
      </c>
      <c r="B128" s="30" t="s">
        <v>15</v>
      </c>
      <c r="C128" s="30"/>
      <c r="D128" s="9"/>
    </row>
    <row r="129" spans="1:4" x14ac:dyDescent="0.2">
      <c r="A129" s="73" t="s">
        <v>37</v>
      </c>
      <c r="B129" s="73"/>
      <c r="C129" s="73"/>
      <c r="D129" s="16">
        <f>SUM(D125:D128)</f>
        <v>57.94</v>
      </c>
    </row>
    <row r="132" spans="1:4" x14ac:dyDescent="0.2">
      <c r="A132" s="76" t="s">
        <v>62</v>
      </c>
      <c r="B132" s="76"/>
      <c r="C132" s="76"/>
      <c r="D132" s="76"/>
    </row>
    <row r="134" spans="1:4" x14ac:dyDescent="0.2">
      <c r="A134" s="29">
        <v>6</v>
      </c>
      <c r="B134" s="31" t="s">
        <v>63</v>
      </c>
      <c r="C134" s="29" t="s">
        <v>26</v>
      </c>
      <c r="D134" s="29" t="s">
        <v>3</v>
      </c>
    </row>
    <row r="135" spans="1:4" x14ac:dyDescent="0.2">
      <c r="A135" s="28" t="s">
        <v>4</v>
      </c>
      <c r="B135" s="30" t="s">
        <v>64</v>
      </c>
      <c r="C135" s="6">
        <v>0.05</v>
      </c>
      <c r="D135" s="10">
        <f>D155*C135</f>
        <v>229.10043000000002</v>
      </c>
    </row>
    <row r="136" spans="1:4" x14ac:dyDescent="0.2">
      <c r="A136" s="28" t="s">
        <v>6</v>
      </c>
      <c r="B136" s="30" t="s">
        <v>65</v>
      </c>
      <c r="C136" s="6">
        <v>0.06</v>
      </c>
      <c r="D136" s="9">
        <f>(D155+D135)*C136</f>
        <v>288.6665418</v>
      </c>
    </row>
    <row r="137" spans="1:4" x14ac:dyDescent="0.2">
      <c r="A137" s="28" t="s">
        <v>8</v>
      </c>
      <c r="B137" s="30" t="s">
        <v>66</v>
      </c>
      <c r="C137" s="8">
        <f>SUM(C138:C143)</f>
        <v>8.6499999999999994E-2</v>
      </c>
      <c r="D137" s="9">
        <f>(D155+D135+D136)*C137/(1-C137)</f>
        <v>482.90157302758627</v>
      </c>
    </row>
    <row r="138" spans="1:4" x14ac:dyDescent="0.2">
      <c r="A138" s="28"/>
      <c r="B138" s="30" t="s">
        <v>67</v>
      </c>
      <c r="C138" s="6"/>
      <c r="D138" s="10">
        <f>$D$157*C138</f>
        <v>0</v>
      </c>
    </row>
    <row r="139" spans="1:4" x14ac:dyDescent="0.2">
      <c r="A139" s="28"/>
      <c r="B139" s="30" t="s">
        <v>102</v>
      </c>
      <c r="C139" s="6">
        <v>6.4999999999999997E-3</v>
      </c>
      <c r="D139" s="10">
        <f t="shared" ref="D139:D143" si="3">$D$157*C139</f>
        <v>36.287401441379309</v>
      </c>
    </row>
    <row r="140" spans="1:4" x14ac:dyDescent="0.2">
      <c r="A140" s="28"/>
      <c r="B140" s="30" t="s">
        <v>103</v>
      </c>
      <c r="C140" s="6">
        <v>0.03</v>
      </c>
      <c r="D140" s="10">
        <f t="shared" si="3"/>
        <v>167.4803143448276</v>
      </c>
    </row>
    <row r="141" spans="1:4" x14ac:dyDescent="0.2">
      <c r="A141" s="28"/>
      <c r="B141" s="30" t="s">
        <v>68</v>
      </c>
      <c r="C141" s="28"/>
      <c r="D141" s="10">
        <f t="shared" si="3"/>
        <v>0</v>
      </c>
    </row>
    <row r="142" spans="1:4" x14ac:dyDescent="0.2">
      <c r="A142" s="28"/>
      <c r="B142" s="30" t="s">
        <v>69</v>
      </c>
      <c r="C142" s="6"/>
      <c r="D142" s="10">
        <f t="shared" si="3"/>
        <v>0</v>
      </c>
    </row>
    <row r="143" spans="1:4" x14ac:dyDescent="0.2">
      <c r="A143" s="28"/>
      <c r="B143" s="30" t="s">
        <v>104</v>
      </c>
      <c r="C143" s="6">
        <v>0.05</v>
      </c>
      <c r="D143" s="10">
        <f t="shared" si="3"/>
        <v>279.13385724137936</v>
      </c>
    </row>
    <row r="144" spans="1:4" ht="13.5" x14ac:dyDescent="0.2">
      <c r="A144" s="80" t="s">
        <v>37</v>
      </c>
      <c r="B144" s="81"/>
      <c r="C144" s="17">
        <f>(1+C136)*(1+C135)/(1-C137)-1</f>
        <v>0.21839080459770144</v>
      </c>
      <c r="D144" s="15">
        <f>SUM(D135:D137)</f>
        <v>1000.6685448275862</v>
      </c>
    </row>
    <row r="147" spans="1:4" x14ac:dyDescent="0.2">
      <c r="A147" s="76" t="s">
        <v>70</v>
      </c>
      <c r="B147" s="76"/>
      <c r="C147" s="76"/>
      <c r="D147" s="76"/>
    </row>
    <row r="149" spans="1:4" x14ac:dyDescent="0.2">
      <c r="A149" s="29"/>
      <c r="B149" s="73" t="s">
        <v>71</v>
      </c>
      <c r="C149" s="73"/>
      <c r="D149" s="29" t="s">
        <v>3</v>
      </c>
    </row>
    <row r="150" spans="1:4" x14ac:dyDescent="0.2">
      <c r="A150" s="29" t="s">
        <v>4</v>
      </c>
      <c r="B150" s="72" t="s">
        <v>1</v>
      </c>
      <c r="C150" s="72"/>
      <c r="D150" s="18">
        <f>D33</f>
        <v>2544.19</v>
      </c>
    </row>
    <row r="151" spans="1:4" x14ac:dyDescent="0.2">
      <c r="A151" s="29" t="s">
        <v>6</v>
      </c>
      <c r="B151" s="72" t="s">
        <v>17</v>
      </c>
      <c r="C151" s="72"/>
      <c r="D151" s="18">
        <f>D77</f>
        <v>1979.8786</v>
      </c>
    </row>
    <row r="152" spans="1:4" x14ac:dyDescent="0.2">
      <c r="A152" s="29" t="s">
        <v>8</v>
      </c>
      <c r="B152" s="72" t="s">
        <v>45</v>
      </c>
      <c r="C152" s="72"/>
      <c r="D152" s="18">
        <f>D89</f>
        <v>0</v>
      </c>
    </row>
    <row r="153" spans="1:4" x14ac:dyDescent="0.2">
      <c r="A153" s="29" t="s">
        <v>10</v>
      </c>
      <c r="B153" s="72" t="s">
        <v>52</v>
      </c>
      <c r="C153" s="72"/>
      <c r="D153" s="18">
        <f>D119</f>
        <v>0</v>
      </c>
    </row>
    <row r="154" spans="1:4" x14ac:dyDescent="0.2">
      <c r="A154" s="29" t="s">
        <v>12</v>
      </c>
      <c r="B154" s="72" t="s">
        <v>57</v>
      </c>
      <c r="C154" s="72"/>
      <c r="D154" s="18">
        <f>D129</f>
        <v>57.94</v>
      </c>
    </row>
    <row r="155" spans="1:4" x14ac:dyDescent="0.2">
      <c r="A155" s="73" t="s">
        <v>101</v>
      </c>
      <c r="B155" s="73"/>
      <c r="C155" s="73"/>
      <c r="D155" s="19">
        <f>SUM(D150:D154)</f>
        <v>4582.0086000000001</v>
      </c>
    </row>
    <row r="156" spans="1:4" x14ac:dyDescent="0.2">
      <c r="A156" s="29" t="s">
        <v>32</v>
      </c>
      <c r="B156" s="72" t="s">
        <v>72</v>
      </c>
      <c r="C156" s="72"/>
      <c r="D156" s="20">
        <f>D144</f>
        <v>1000.6685448275862</v>
      </c>
    </row>
    <row r="157" spans="1:4" x14ac:dyDescent="0.2">
      <c r="A157" s="73" t="s">
        <v>73</v>
      </c>
      <c r="B157" s="73"/>
      <c r="C157" s="73"/>
      <c r="D157" s="19">
        <f>SUM(D155:D156)</f>
        <v>5582.6771448275867</v>
      </c>
    </row>
  </sheetData>
  <mergeCells count="72">
    <mergeCell ref="A157:C157"/>
    <mergeCell ref="A132:D132"/>
    <mergeCell ref="A144:B144"/>
    <mergeCell ref="A147:D147"/>
    <mergeCell ref="B149:C149"/>
    <mergeCell ref="B150:C150"/>
    <mergeCell ref="B151:C151"/>
    <mergeCell ref="B152:C152"/>
    <mergeCell ref="B153:C153"/>
    <mergeCell ref="B154:C154"/>
    <mergeCell ref="A155:C155"/>
    <mergeCell ref="B156:C156"/>
    <mergeCell ref="A129:C129"/>
    <mergeCell ref="A107:D107"/>
    <mergeCell ref="B109:C109"/>
    <mergeCell ref="B110:C110"/>
    <mergeCell ref="A111:C111"/>
    <mergeCell ref="A114:D114"/>
    <mergeCell ref="B116:C116"/>
    <mergeCell ref="B117:C117"/>
    <mergeCell ref="B118:C118"/>
    <mergeCell ref="A119:C119"/>
    <mergeCell ref="A122:D122"/>
    <mergeCell ref="B124:C124"/>
    <mergeCell ref="A104:C104"/>
    <mergeCell ref="B73:C73"/>
    <mergeCell ref="B74:C74"/>
    <mergeCell ref="B75:C75"/>
    <mergeCell ref="B76:C76"/>
    <mergeCell ref="A77:C77"/>
    <mergeCell ref="A80:D80"/>
    <mergeCell ref="B82:C82"/>
    <mergeCell ref="A89:C89"/>
    <mergeCell ref="A92:D92"/>
    <mergeCell ref="A95:D95"/>
    <mergeCell ref="B97:C97"/>
    <mergeCell ref="A71:D71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B67:C67"/>
    <mergeCell ref="A68:C68"/>
    <mergeCell ref="B40:C40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A23:D23"/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workbookViewId="0">
      <selection activeCell="F30" sqref="F30"/>
    </sheetView>
  </sheetViews>
  <sheetFormatPr defaultRowHeight="12.75" x14ac:dyDescent="0.2"/>
  <cols>
    <col min="1" max="1" width="13.5703125" style="35" customWidth="1"/>
    <col min="2" max="5" width="15.7109375" style="48" customWidth="1"/>
    <col min="6" max="6" width="9.140625" style="35"/>
    <col min="7" max="7" width="11.5703125" style="35" customWidth="1"/>
    <col min="8" max="8" width="9.140625" style="35"/>
    <col min="9" max="9" width="11.28515625" style="35" customWidth="1"/>
    <col min="10" max="16384" width="9.140625" style="35"/>
  </cols>
  <sheetData>
    <row r="1" spans="1:7" x14ac:dyDescent="0.2">
      <c r="A1" s="94" t="s">
        <v>145</v>
      </c>
      <c r="B1" s="94"/>
      <c r="C1" s="94"/>
      <c r="D1" s="94"/>
      <c r="E1" s="94"/>
    </row>
    <row r="3" spans="1:7" x14ac:dyDescent="0.2">
      <c r="C3" s="97" t="s">
        <v>148</v>
      </c>
      <c r="D3" s="97"/>
    </row>
    <row r="4" spans="1:7" ht="25.5" x14ac:dyDescent="0.2">
      <c r="A4" s="56" t="s">
        <v>146</v>
      </c>
      <c r="B4" s="54" t="s">
        <v>147</v>
      </c>
      <c r="C4" s="54" t="s">
        <v>149</v>
      </c>
      <c r="D4" s="54" t="s">
        <v>150</v>
      </c>
      <c r="E4" s="54" t="s">
        <v>151</v>
      </c>
    </row>
    <row r="5" spans="1:7" x14ac:dyDescent="0.2">
      <c r="A5" s="37" t="s">
        <v>117</v>
      </c>
      <c r="B5" s="58">
        <v>100</v>
      </c>
      <c r="C5" s="49">
        <f>TRUNC(0*4,2)</f>
        <v>0</v>
      </c>
      <c r="D5" s="49">
        <f>TRUNC((1*(13.1*0.8)),2)</f>
        <v>10.48</v>
      </c>
      <c r="E5" s="49">
        <f>B5-C5-D5</f>
        <v>89.52</v>
      </c>
      <c r="F5" s="47"/>
      <c r="G5" s="47"/>
    </row>
    <row r="6" spans="1:7" x14ac:dyDescent="0.2">
      <c r="A6" s="37" t="s">
        <v>118</v>
      </c>
      <c r="B6" s="58">
        <v>200</v>
      </c>
      <c r="C6" s="49">
        <f>TRUNC(2*4,2)</f>
        <v>8</v>
      </c>
      <c r="D6" s="49">
        <f>TRUNC((1*(13.1*0.8)),2)</f>
        <v>10.48</v>
      </c>
      <c r="E6" s="49">
        <f>B6-C6-D6</f>
        <v>181.52</v>
      </c>
      <c r="F6" s="47"/>
      <c r="G6" s="47"/>
    </row>
    <row r="8" spans="1:7" x14ac:dyDescent="0.2">
      <c r="A8" s="95" t="s">
        <v>135</v>
      </c>
      <c r="B8" s="95"/>
      <c r="C8" s="95"/>
      <c r="D8" s="95"/>
      <c r="E8" s="95"/>
    </row>
    <row r="10" spans="1:7" x14ac:dyDescent="0.2">
      <c r="B10" s="55" t="s">
        <v>152</v>
      </c>
      <c r="C10" s="55" t="s">
        <v>65</v>
      </c>
      <c r="D10" s="55" t="s">
        <v>66</v>
      </c>
      <c r="E10" s="99" t="s">
        <v>153</v>
      </c>
    </row>
    <row r="11" spans="1:7" x14ac:dyDescent="0.2">
      <c r="A11" s="36" t="s">
        <v>146</v>
      </c>
      <c r="B11" s="57">
        <f>MCam44!C135</f>
        <v>0.05</v>
      </c>
      <c r="C11" s="57">
        <f>MCam44!C136</f>
        <v>0.06</v>
      </c>
      <c r="D11" s="57">
        <f>MCam44!C137</f>
        <v>8.6499999999999994E-2</v>
      </c>
      <c r="E11" s="100"/>
    </row>
    <row r="12" spans="1:7" x14ac:dyDescent="0.2">
      <c r="A12" s="37" t="s">
        <v>117</v>
      </c>
      <c r="B12" s="51">
        <f>TRUNC(E5*$B$11,2)</f>
        <v>4.47</v>
      </c>
      <c r="C12" s="51">
        <f>TRUNC(((E5+B12)*$C$11),2)</f>
        <v>5.63</v>
      </c>
      <c r="D12" s="50">
        <f>TRUNC((((E5+B12+C12)/(1-$D$11))*$D$11),2)</f>
        <v>9.43</v>
      </c>
      <c r="E12" s="51">
        <f>B12+C12+D12</f>
        <v>19.53</v>
      </c>
    </row>
    <row r="13" spans="1:7" x14ac:dyDescent="0.2">
      <c r="A13" s="37" t="s">
        <v>118</v>
      </c>
      <c r="B13" s="51">
        <f>TRUNC(E6*$B$11,2)</f>
        <v>9.07</v>
      </c>
      <c r="C13" s="51">
        <f>TRUNC(((E6+B13)*$C$11),2)</f>
        <v>11.43</v>
      </c>
      <c r="D13" s="50">
        <f>TRUNC((((E6+B13+C13)/(1-$D$11))*$D$11),2)</f>
        <v>19.12</v>
      </c>
      <c r="E13" s="51">
        <f>B13+C13+D13</f>
        <v>39.620000000000005</v>
      </c>
    </row>
    <row r="15" spans="1:7" x14ac:dyDescent="0.2">
      <c r="A15" s="95" t="s">
        <v>156</v>
      </c>
      <c r="B15" s="95"/>
      <c r="C15" s="95"/>
      <c r="D15" s="95"/>
      <c r="E15" s="95"/>
    </row>
    <row r="17" spans="1:5" ht="25.5" x14ac:dyDescent="0.2">
      <c r="A17" s="98" t="s">
        <v>146</v>
      </c>
      <c r="B17" s="98"/>
      <c r="C17" s="54" t="s">
        <v>151</v>
      </c>
      <c r="D17" s="54" t="s">
        <v>154</v>
      </c>
      <c r="E17" s="54" t="s">
        <v>155</v>
      </c>
    </row>
    <row r="18" spans="1:5" x14ac:dyDescent="0.2">
      <c r="A18" s="96" t="s">
        <v>117</v>
      </c>
      <c r="B18" s="96"/>
      <c r="C18" s="51">
        <f>E5</f>
        <v>89.52</v>
      </c>
      <c r="D18" s="51">
        <f>E12</f>
        <v>19.53</v>
      </c>
      <c r="E18" s="59">
        <f>C18+D18</f>
        <v>109.05</v>
      </c>
    </row>
    <row r="19" spans="1:5" x14ac:dyDescent="0.2">
      <c r="A19" s="96" t="s">
        <v>118</v>
      </c>
      <c r="B19" s="96"/>
      <c r="C19" s="51">
        <f>E6</f>
        <v>181.52</v>
      </c>
      <c r="D19" s="51">
        <f>E13</f>
        <v>39.620000000000005</v>
      </c>
      <c r="E19" s="59">
        <f>C19+D19</f>
        <v>221.14000000000001</v>
      </c>
    </row>
    <row r="21" spans="1:5" x14ac:dyDescent="0.2">
      <c r="A21" s="95" t="s">
        <v>119</v>
      </c>
      <c r="B21" s="95"/>
      <c r="C21" s="95"/>
      <c r="D21" s="95"/>
      <c r="E21" s="95"/>
    </row>
    <row r="23" spans="1:5" x14ac:dyDescent="0.2">
      <c r="B23" s="97" t="s">
        <v>120</v>
      </c>
      <c r="C23" s="97"/>
      <c r="D23" s="97" t="s">
        <v>125</v>
      </c>
      <c r="E23" s="97"/>
    </row>
    <row r="24" spans="1:5" x14ac:dyDescent="0.2">
      <c r="A24" s="36" t="s">
        <v>146</v>
      </c>
      <c r="B24" s="54" t="s">
        <v>157</v>
      </c>
      <c r="C24" s="54" t="s">
        <v>158</v>
      </c>
      <c r="D24" s="54" t="s">
        <v>157</v>
      </c>
      <c r="E24" s="54" t="s">
        <v>158</v>
      </c>
    </row>
    <row r="25" spans="1:5" x14ac:dyDescent="0.2">
      <c r="A25" s="37" t="s">
        <v>117</v>
      </c>
      <c r="B25" s="50">
        <v>36</v>
      </c>
      <c r="C25" s="51">
        <f>B25*E18</f>
        <v>3925.7999999999997</v>
      </c>
      <c r="D25" s="50">
        <v>60</v>
      </c>
      <c r="E25" s="51">
        <f>D25*E18</f>
        <v>6543</v>
      </c>
    </row>
    <row r="26" spans="1:5" x14ac:dyDescent="0.2">
      <c r="A26" s="37" t="s">
        <v>118</v>
      </c>
      <c r="B26" s="50">
        <v>1152</v>
      </c>
      <c r="C26" s="51">
        <f>B26*E19</f>
        <v>254753.28000000003</v>
      </c>
      <c r="D26" s="50">
        <v>1458</v>
      </c>
      <c r="E26" s="51">
        <f>D26*E19</f>
        <v>322422.12</v>
      </c>
    </row>
    <row r="27" spans="1:5" x14ac:dyDescent="0.2">
      <c r="A27" s="36" t="s">
        <v>159</v>
      </c>
      <c r="B27" s="52"/>
      <c r="C27" s="53">
        <f>SUM(C25:C26)</f>
        <v>258679.08000000002</v>
      </c>
      <c r="D27" s="52"/>
      <c r="E27" s="53">
        <f>SUM(E25:E26)</f>
        <v>328965.12</v>
      </c>
    </row>
  </sheetData>
  <mergeCells count="11">
    <mergeCell ref="D23:E23"/>
    <mergeCell ref="A17:B17"/>
    <mergeCell ref="A18:B18"/>
    <mergeCell ref="E10:E11"/>
    <mergeCell ref="C3:D3"/>
    <mergeCell ref="B23:C23"/>
    <mergeCell ref="A1:E1"/>
    <mergeCell ref="A8:E8"/>
    <mergeCell ref="A15:E15"/>
    <mergeCell ref="A19:B19"/>
    <mergeCell ref="A21:E21"/>
  </mergeCells>
  <printOptions horizontalCentered="1"/>
  <pageMargins left="0.51181102362204722" right="0.51181102362204722" top="0.78740157480314965" bottom="0.78740157480314965" header="0.31496062992125984" footer="0.31496062992125984"/>
  <pageSetup paperSize="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7"/>
  <sheetViews>
    <sheetView zoomScaleNormal="100" workbookViewId="0">
      <selection activeCell="F30" sqref="F30"/>
    </sheetView>
  </sheetViews>
  <sheetFormatPr defaultRowHeight="12.75" x14ac:dyDescent="0.2"/>
  <cols>
    <col min="1" max="9" width="14.5703125" style="35" customWidth="1"/>
    <col min="10" max="16384" width="9.140625" style="35"/>
  </cols>
  <sheetData>
    <row r="1" spans="1:9" ht="18.75" x14ac:dyDescent="0.3">
      <c r="A1" s="101" t="s">
        <v>132</v>
      </c>
      <c r="B1" s="101"/>
      <c r="C1" s="101"/>
      <c r="D1" s="101"/>
      <c r="E1" s="101"/>
      <c r="F1" s="101"/>
      <c r="G1" s="101"/>
      <c r="H1" s="101"/>
      <c r="I1" s="101"/>
    </row>
    <row r="3" spans="1:9" ht="14.25" x14ac:dyDescent="0.2">
      <c r="A3" s="110" t="s">
        <v>133</v>
      </c>
      <c r="B3" s="110"/>
      <c r="C3" s="110"/>
      <c r="D3" s="110"/>
      <c r="E3" s="110"/>
      <c r="F3" s="110"/>
      <c r="G3" s="110"/>
      <c r="H3" s="110"/>
      <c r="I3" s="110"/>
    </row>
    <row r="5" spans="1:9" x14ac:dyDescent="0.2">
      <c r="A5" s="109" t="s">
        <v>120</v>
      </c>
      <c r="B5" s="109"/>
      <c r="C5" s="109"/>
      <c r="D5" s="109"/>
      <c r="E5" s="109"/>
      <c r="F5" s="109"/>
      <c r="G5" s="109"/>
      <c r="H5" s="109"/>
    </row>
    <row r="6" spans="1:9" x14ac:dyDescent="0.2">
      <c r="A6" s="102" t="s">
        <v>121</v>
      </c>
      <c r="B6" s="102" t="s">
        <v>122</v>
      </c>
      <c r="C6" s="102" t="s">
        <v>123</v>
      </c>
      <c r="D6" s="103" t="s">
        <v>124</v>
      </c>
      <c r="E6" s="39" t="s">
        <v>64</v>
      </c>
      <c r="F6" s="39" t="s">
        <v>65</v>
      </c>
      <c r="G6" s="39" t="s">
        <v>66</v>
      </c>
      <c r="H6" s="104" t="s">
        <v>16</v>
      </c>
    </row>
    <row r="7" spans="1:9" x14ac:dyDescent="0.2">
      <c r="A7" s="102"/>
      <c r="B7" s="102"/>
      <c r="C7" s="102"/>
      <c r="D7" s="103"/>
      <c r="E7" s="40">
        <f>MCam44!C135</f>
        <v>0.05</v>
      </c>
      <c r="F7" s="40">
        <f>MCam44!C136</f>
        <v>0.06</v>
      </c>
      <c r="G7" s="40">
        <f>MCam44!C137</f>
        <v>8.6499999999999994E-2</v>
      </c>
      <c r="H7" s="105"/>
    </row>
    <row r="8" spans="1:9" x14ac:dyDescent="0.2">
      <c r="A8" s="37">
        <v>900</v>
      </c>
      <c r="B8" s="38">
        <f>TRUNC(((MCam44!D26/220)*0.2*A8),2)</f>
        <v>2081.61</v>
      </c>
      <c r="C8" s="38">
        <f>TRUNC((B8*MCam44!C57),2)</f>
        <v>766.03</v>
      </c>
      <c r="D8" s="38">
        <f>B8+C8</f>
        <v>2847.6400000000003</v>
      </c>
      <c r="E8" s="38">
        <f>TRUNC(D8*E7,2)</f>
        <v>142.38</v>
      </c>
      <c r="F8" s="38">
        <f>TRUNC(((D8+E8)*F7),2)</f>
        <v>179.4</v>
      </c>
      <c r="G8" s="38">
        <f>TRUNC((((D8+E8+F8)/(1-G7))*G7),2)</f>
        <v>300.11</v>
      </c>
      <c r="H8" s="44">
        <f>SUM(D8:G8)</f>
        <v>3469.5300000000007</v>
      </c>
    </row>
    <row r="10" spans="1:9" x14ac:dyDescent="0.2">
      <c r="A10" s="109" t="s">
        <v>125</v>
      </c>
      <c r="B10" s="109"/>
      <c r="C10" s="109"/>
      <c r="D10" s="109"/>
      <c r="E10" s="109"/>
      <c r="F10" s="109"/>
      <c r="G10" s="109"/>
      <c r="H10" s="109"/>
    </row>
    <row r="11" spans="1:9" x14ac:dyDescent="0.2">
      <c r="A11" s="102" t="s">
        <v>121</v>
      </c>
      <c r="B11" s="102" t="s">
        <v>122</v>
      </c>
      <c r="C11" s="102" t="s">
        <v>123</v>
      </c>
      <c r="D11" s="103" t="s">
        <v>124</v>
      </c>
      <c r="E11" s="39" t="s">
        <v>64</v>
      </c>
      <c r="F11" s="39" t="s">
        <v>65</v>
      </c>
      <c r="G11" s="39" t="s">
        <v>66</v>
      </c>
      <c r="H11" s="104" t="s">
        <v>16</v>
      </c>
    </row>
    <row r="12" spans="1:9" x14ac:dyDescent="0.2">
      <c r="A12" s="102"/>
      <c r="B12" s="102"/>
      <c r="C12" s="102"/>
      <c r="D12" s="103"/>
      <c r="E12" s="40">
        <f>MCam44!C135</f>
        <v>0.05</v>
      </c>
      <c r="F12" s="40">
        <f>MCam44!C136</f>
        <v>0.06</v>
      </c>
      <c r="G12" s="40">
        <f>MCam44!C137</f>
        <v>8.6499999999999994E-2</v>
      </c>
      <c r="H12" s="105"/>
    </row>
    <row r="13" spans="1:9" x14ac:dyDescent="0.2">
      <c r="A13" s="37">
        <v>2800</v>
      </c>
      <c r="B13" s="38">
        <f>TRUNC(((MCam44!D26/220)*0.2*A13),2)</f>
        <v>6476.12</v>
      </c>
      <c r="C13" s="38">
        <f>TRUNC((B13*MCam44!C57),2)</f>
        <v>2383.21</v>
      </c>
      <c r="D13" s="38">
        <f>B13+C13</f>
        <v>8859.33</v>
      </c>
      <c r="E13" s="38">
        <f>TRUNC(D13*E12,2)</f>
        <v>442.96</v>
      </c>
      <c r="F13" s="38">
        <f>TRUNC(((D13+E13)*F12),2)</f>
        <v>558.13</v>
      </c>
      <c r="G13" s="38">
        <f>TRUNC((((D13+E13+F13)/(1-G12))*G12),2)</f>
        <v>933.69</v>
      </c>
      <c r="H13" s="44">
        <f>SUM(D13:G13)</f>
        <v>10794.109999999999</v>
      </c>
    </row>
    <row r="15" spans="1:9" ht="14.25" x14ac:dyDescent="0.2">
      <c r="A15" s="110" t="s">
        <v>134</v>
      </c>
      <c r="B15" s="110"/>
      <c r="C15" s="110"/>
      <c r="D15" s="110"/>
      <c r="E15" s="110"/>
      <c r="F15" s="110"/>
      <c r="G15" s="110"/>
      <c r="H15" s="110"/>
      <c r="I15" s="110"/>
    </row>
    <row r="17" spans="1:9" x14ac:dyDescent="0.2">
      <c r="A17" s="106" t="s">
        <v>120</v>
      </c>
      <c r="B17" s="106"/>
      <c r="C17" s="106"/>
      <c r="D17" s="106"/>
      <c r="E17" s="106"/>
      <c r="F17" s="106"/>
      <c r="G17" s="106"/>
      <c r="H17" s="106"/>
      <c r="I17" s="43"/>
    </row>
    <row r="18" spans="1:9" x14ac:dyDescent="0.2">
      <c r="A18" s="35" t="s">
        <v>126</v>
      </c>
    </row>
    <row r="19" spans="1:9" x14ac:dyDescent="0.2">
      <c r="B19" s="102" t="s">
        <v>121</v>
      </c>
      <c r="C19" s="102" t="s">
        <v>122</v>
      </c>
      <c r="D19" s="102" t="s">
        <v>123</v>
      </c>
      <c r="E19" s="103" t="s">
        <v>124</v>
      </c>
      <c r="F19" s="39" t="s">
        <v>64</v>
      </c>
      <c r="G19" s="39" t="s">
        <v>65</v>
      </c>
      <c r="H19" s="39" t="s">
        <v>66</v>
      </c>
      <c r="I19" s="104" t="s">
        <v>16</v>
      </c>
    </row>
    <row r="20" spans="1:9" x14ac:dyDescent="0.2">
      <c r="B20" s="102"/>
      <c r="C20" s="102"/>
      <c r="D20" s="102"/>
      <c r="E20" s="103"/>
      <c r="F20" s="40">
        <f>MCam44!C135</f>
        <v>0.05</v>
      </c>
      <c r="G20" s="40">
        <f>MCam44!C136</f>
        <v>0.06</v>
      </c>
      <c r="H20" s="40">
        <f>MCam44!C137</f>
        <v>8.6499999999999994E-2</v>
      </c>
      <c r="I20" s="105"/>
    </row>
    <row r="21" spans="1:9" x14ac:dyDescent="0.2">
      <c r="A21" s="36" t="s">
        <v>127</v>
      </c>
      <c r="B21" s="37">
        <v>1600</v>
      </c>
      <c r="C21" s="38">
        <f>TRUNC(((MCam44!D26/220)*1.5*B21),2)</f>
        <v>27754.799999999999</v>
      </c>
      <c r="D21" s="38">
        <f>TRUNC((C21*MCam44!C57),2)</f>
        <v>10213.76</v>
      </c>
      <c r="E21" s="38">
        <f>C21+D21</f>
        <v>37968.559999999998</v>
      </c>
      <c r="F21" s="38">
        <f>TRUNC(E21*$F$20,2)</f>
        <v>1898.42</v>
      </c>
      <c r="G21" s="38">
        <f>TRUNC(((E21+F21)*$G$20),2)</f>
        <v>2392.0100000000002</v>
      </c>
      <c r="H21" s="38">
        <f>TRUNC((((E21+F21+G21)/(1-$H$20))*$H$20),2)</f>
        <v>4001.53</v>
      </c>
      <c r="I21" s="38">
        <f>SUM(E21:H21)</f>
        <v>46260.52</v>
      </c>
    </row>
    <row r="22" spans="1:9" x14ac:dyDescent="0.2">
      <c r="A22" s="36" t="s">
        <v>128</v>
      </c>
      <c r="B22" s="37">
        <v>600</v>
      </c>
      <c r="C22" s="38">
        <f>TRUNC(((MCam44!D26/220)*2*B22),2)</f>
        <v>13877.4</v>
      </c>
      <c r="D22" s="38">
        <f>TRUNC((C22*MCam44!C57),2)</f>
        <v>5106.88</v>
      </c>
      <c r="E22" s="38">
        <f>C22+D22</f>
        <v>18984.28</v>
      </c>
      <c r="F22" s="38">
        <f>TRUNC(E22*$F$20,2)</f>
        <v>949.21</v>
      </c>
      <c r="G22" s="38">
        <f>TRUNC(((E22+F22)*$G$20),2)</f>
        <v>1196</v>
      </c>
      <c r="H22" s="38">
        <f>TRUNC((((E22+F22+G22)/(1-$H$20))*$H$20),2)</f>
        <v>2000.76</v>
      </c>
      <c r="I22" s="38">
        <f>SUM(E22:H22)</f>
        <v>23130.249999999996</v>
      </c>
    </row>
    <row r="23" spans="1:9" x14ac:dyDescent="0.2">
      <c r="I23" s="41">
        <f>SUM(I21:I22)</f>
        <v>69390.76999999999</v>
      </c>
    </row>
    <row r="24" spans="1:9" x14ac:dyDescent="0.2">
      <c r="A24" s="35" t="s">
        <v>129</v>
      </c>
    </row>
    <row r="25" spans="1:9" x14ac:dyDescent="0.2">
      <c r="B25" s="102" t="s">
        <v>121</v>
      </c>
      <c r="C25" s="102" t="s">
        <v>122</v>
      </c>
      <c r="D25" s="102" t="s">
        <v>123</v>
      </c>
      <c r="E25" s="103" t="s">
        <v>124</v>
      </c>
      <c r="F25" s="39" t="s">
        <v>64</v>
      </c>
      <c r="G25" s="39" t="s">
        <v>65</v>
      </c>
      <c r="H25" s="39" t="s">
        <v>66</v>
      </c>
      <c r="I25" s="104" t="s">
        <v>16</v>
      </c>
    </row>
    <row r="26" spans="1:9" x14ac:dyDescent="0.2">
      <c r="B26" s="102"/>
      <c r="C26" s="102"/>
      <c r="D26" s="102"/>
      <c r="E26" s="103"/>
      <c r="F26" s="40">
        <f>MCam44!C135</f>
        <v>0.05</v>
      </c>
      <c r="G26" s="40">
        <f>MCam44!C136</f>
        <v>0.06</v>
      </c>
      <c r="H26" s="40">
        <f>MCam44!C137</f>
        <v>8.6499999999999994E-2</v>
      </c>
      <c r="I26" s="105"/>
    </row>
    <row r="27" spans="1:9" x14ac:dyDescent="0.2">
      <c r="A27" s="36" t="s">
        <v>127</v>
      </c>
      <c r="B27" s="37">
        <v>1800</v>
      </c>
      <c r="C27" s="38">
        <f>TRUNC(((MCam44!D26/220)*1.7*B27),2)</f>
        <v>35387.370000000003</v>
      </c>
      <c r="D27" s="38">
        <f>TRUNC(C27*MCam44!C57,2)</f>
        <v>13022.55</v>
      </c>
      <c r="E27" s="38">
        <f>C27+D27</f>
        <v>48409.919999999998</v>
      </c>
      <c r="F27" s="38">
        <f>TRUNC(E27*$F$26,2)</f>
        <v>2420.4899999999998</v>
      </c>
      <c r="G27" s="38">
        <f>TRUNC(((E27+F27)*$G$26),2)</f>
        <v>3049.82</v>
      </c>
      <c r="H27" s="38">
        <f>((E27+F27+G27)/(1-$H$26))*$H$26</f>
        <v>5101.9593814997261</v>
      </c>
      <c r="I27" s="38">
        <f>SUM(E27:H27)</f>
        <v>58982.189381499724</v>
      </c>
    </row>
    <row r="28" spans="1:9" x14ac:dyDescent="0.2">
      <c r="A28" s="36" t="s">
        <v>128</v>
      </c>
      <c r="B28" s="37">
        <v>800</v>
      </c>
      <c r="C28" s="38">
        <f>TRUNC(((MCam44!D26/220)*2.2*B28),2)</f>
        <v>20353.52</v>
      </c>
      <c r="D28" s="38">
        <f>TRUNC(C28*MCam44!C57,2)</f>
        <v>7490.09</v>
      </c>
      <c r="E28" s="38">
        <f>C28+D28</f>
        <v>27843.61</v>
      </c>
      <c r="F28" s="38">
        <f>TRUNC(E28*$F$26,2)</f>
        <v>1392.18</v>
      </c>
      <c r="G28" s="38">
        <f>TRUNC(((E28+F28)*$G$26),2)</f>
        <v>1754.14</v>
      </c>
      <c r="H28" s="38">
        <f>((E28+F28+G28)/(1-$H$26))*$H$26</f>
        <v>2934.459709906951</v>
      </c>
      <c r="I28" s="38">
        <f>SUM(E28:H28)</f>
        <v>33924.389709906951</v>
      </c>
    </row>
    <row r="29" spans="1:9" x14ac:dyDescent="0.2">
      <c r="I29" s="41">
        <f>SUM(I27:I28)</f>
        <v>92906.579091406675</v>
      </c>
    </row>
    <row r="31" spans="1:9" x14ac:dyDescent="0.2">
      <c r="A31" s="107" t="s">
        <v>130</v>
      </c>
      <c r="B31" s="107"/>
      <c r="C31" s="107"/>
      <c r="D31" s="107"/>
      <c r="E31" s="107"/>
      <c r="F31" s="107"/>
      <c r="G31" s="107"/>
      <c r="H31" s="107"/>
      <c r="I31" s="69">
        <f>I23+I29</f>
        <v>162297.34909140668</v>
      </c>
    </row>
    <row r="33" spans="1:9" x14ac:dyDescent="0.2">
      <c r="A33" s="106" t="s">
        <v>125</v>
      </c>
      <c r="B33" s="106"/>
      <c r="C33" s="106"/>
      <c r="D33" s="106"/>
      <c r="E33" s="106"/>
      <c r="F33" s="106"/>
      <c r="G33" s="106"/>
      <c r="H33" s="106"/>
      <c r="I33" s="43"/>
    </row>
    <row r="34" spans="1:9" x14ac:dyDescent="0.2">
      <c r="A34" s="35" t="s">
        <v>126</v>
      </c>
    </row>
    <row r="35" spans="1:9" x14ac:dyDescent="0.2">
      <c r="B35" s="102" t="s">
        <v>121</v>
      </c>
      <c r="C35" s="102" t="s">
        <v>122</v>
      </c>
      <c r="D35" s="102" t="s">
        <v>123</v>
      </c>
      <c r="E35" s="103" t="s">
        <v>124</v>
      </c>
      <c r="F35" s="39" t="s">
        <v>64</v>
      </c>
      <c r="G35" s="39" t="s">
        <v>65</v>
      </c>
      <c r="H35" s="39" t="s">
        <v>66</v>
      </c>
      <c r="I35" s="104" t="s">
        <v>16</v>
      </c>
    </row>
    <row r="36" spans="1:9" x14ac:dyDescent="0.2">
      <c r="B36" s="102"/>
      <c r="C36" s="102"/>
      <c r="D36" s="102"/>
      <c r="E36" s="103"/>
      <c r="F36" s="40">
        <f>MCam44!C135</f>
        <v>0.05</v>
      </c>
      <c r="G36" s="40">
        <f>MCam44!C136</f>
        <v>0.06</v>
      </c>
      <c r="H36" s="40">
        <f>MCam44!C137</f>
        <v>8.6499999999999994E-2</v>
      </c>
      <c r="I36" s="105"/>
    </row>
    <row r="37" spans="1:9" x14ac:dyDescent="0.2">
      <c r="A37" s="36" t="s">
        <v>127</v>
      </c>
      <c r="B37" s="37">
        <v>9000</v>
      </c>
      <c r="C37" s="38">
        <f>TRUNC(((MCam44!D26/220)*1.5*B37),2)</f>
        <v>156120.75</v>
      </c>
      <c r="D37" s="38">
        <f>TRUNC(C37*MCam44!C57,2)</f>
        <v>57452.43</v>
      </c>
      <c r="E37" s="38">
        <f>C37+D37</f>
        <v>213573.18</v>
      </c>
      <c r="F37" s="38">
        <f>TRUNC(E37*$F$36,2)</f>
        <v>10678.65</v>
      </c>
      <c r="G37" s="38">
        <f>TRUNC(((E37+F37)*$G$36),2)</f>
        <v>13455.1</v>
      </c>
      <c r="H37" s="38">
        <f>TRUNC((((E37+F37+G37)/(1-$H$36))*$H$36),2)</f>
        <v>22508.639999999999</v>
      </c>
      <c r="I37" s="38">
        <f>SUM(E37:H37)</f>
        <v>260215.57</v>
      </c>
    </row>
    <row r="38" spans="1:9" x14ac:dyDescent="0.2">
      <c r="A38" s="36" t="s">
        <v>128</v>
      </c>
      <c r="B38" s="37">
        <v>900</v>
      </c>
      <c r="C38" s="38">
        <f>TRUNC(((MCam44!D26/220)*2*B38),2)</f>
        <v>20816.099999999999</v>
      </c>
      <c r="D38" s="38">
        <f>TRUNC(C38*MCam44!C57,2)</f>
        <v>7660.32</v>
      </c>
      <c r="E38" s="38">
        <f>C38+D38</f>
        <v>28476.42</v>
      </c>
      <c r="F38" s="38">
        <f>TRUNC(E38*$F$36,2)</f>
        <v>1423.82</v>
      </c>
      <c r="G38" s="38">
        <f>TRUNC(((E38+F38)*$G$36),2)</f>
        <v>1794.01</v>
      </c>
      <c r="H38" s="38">
        <f>TRUNC((((E38+F38+G38)/(1-$H$36))*$H$36),2)</f>
        <v>3001.15</v>
      </c>
      <c r="I38" s="38">
        <f>SUM(E38:H38)</f>
        <v>34695.399999999994</v>
      </c>
    </row>
    <row r="39" spans="1:9" x14ac:dyDescent="0.2">
      <c r="I39" s="41">
        <f>SUM(I37:I38)</f>
        <v>294910.96999999997</v>
      </c>
    </row>
    <row r="40" spans="1:9" x14ac:dyDescent="0.2">
      <c r="A40" s="35" t="s">
        <v>129</v>
      </c>
    </row>
    <row r="41" spans="1:9" x14ac:dyDescent="0.2">
      <c r="B41" s="102" t="s">
        <v>121</v>
      </c>
      <c r="C41" s="102" t="s">
        <v>122</v>
      </c>
      <c r="D41" s="102" t="s">
        <v>123</v>
      </c>
      <c r="E41" s="103" t="s">
        <v>124</v>
      </c>
      <c r="F41" s="39" t="s">
        <v>64</v>
      </c>
      <c r="G41" s="39" t="s">
        <v>65</v>
      </c>
      <c r="H41" s="39" t="s">
        <v>66</v>
      </c>
      <c r="I41" s="104" t="s">
        <v>16</v>
      </c>
    </row>
    <row r="42" spans="1:9" x14ac:dyDescent="0.2">
      <c r="B42" s="102"/>
      <c r="C42" s="102"/>
      <c r="D42" s="102"/>
      <c r="E42" s="103"/>
      <c r="F42" s="40">
        <f>MCam44!C135</f>
        <v>0.05</v>
      </c>
      <c r="G42" s="40">
        <f>MCam44!C136</f>
        <v>0.06</v>
      </c>
      <c r="H42" s="40">
        <f>MCam44!C137</f>
        <v>8.6499999999999994E-2</v>
      </c>
      <c r="I42" s="105"/>
    </row>
    <row r="43" spans="1:9" x14ac:dyDescent="0.2">
      <c r="A43" s="36" t="s">
        <v>127</v>
      </c>
      <c r="B43" s="37">
        <v>3500</v>
      </c>
      <c r="C43" s="38">
        <f>TRUNC(((MCam44!D26/220)*1.7*B43),2)</f>
        <v>68808.77</v>
      </c>
      <c r="D43" s="38">
        <f>TRUNC(C43*MCam44!C57,2)</f>
        <v>25321.62</v>
      </c>
      <c r="E43" s="38">
        <f>C43+D43</f>
        <v>94130.39</v>
      </c>
      <c r="F43" s="38">
        <f>TRUNC(E43*$F$42,2)</f>
        <v>4706.51</v>
      </c>
      <c r="G43" s="38">
        <f>TRUNC(((E43+F43)*$G$42),2)</f>
        <v>5930.21</v>
      </c>
      <c r="H43" s="38">
        <f>TRUNC((((E43+F43+G43)/(1-$H$42))*$H$42),2)</f>
        <v>9920.4699999999993</v>
      </c>
      <c r="I43" s="38">
        <f>SUM(E43:H43)</f>
        <v>114687.58</v>
      </c>
    </row>
    <row r="44" spans="1:9" x14ac:dyDescent="0.2">
      <c r="A44" s="36" t="s">
        <v>128</v>
      </c>
      <c r="B44" s="37">
        <v>600</v>
      </c>
      <c r="C44" s="38">
        <f>TRUNC(((MCam44!D26/220)*2.2*B44),2)</f>
        <v>15265.14</v>
      </c>
      <c r="D44" s="38">
        <f>TRUNC(C44*MCam44!C57,2)</f>
        <v>5617.57</v>
      </c>
      <c r="E44" s="38">
        <f>C44+D44</f>
        <v>20882.71</v>
      </c>
      <c r="F44" s="38">
        <f>TRUNC(E44*$F$42,2)</f>
        <v>1044.1300000000001</v>
      </c>
      <c r="G44" s="38">
        <f>TRUNC(((E44+F44)*$G$42),2)</f>
        <v>1315.61</v>
      </c>
      <c r="H44" s="38">
        <f>TRUNC((((E44+F44+G44)/(1-$H$42))*$H$42),2)</f>
        <v>2200.84</v>
      </c>
      <c r="I44" s="38">
        <f>SUM(E44:H44)</f>
        <v>25443.29</v>
      </c>
    </row>
    <row r="45" spans="1:9" x14ac:dyDescent="0.2">
      <c r="I45" s="41">
        <f>SUM(I43:I44)</f>
        <v>140130.87</v>
      </c>
    </row>
    <row r="47" spans="1:9" x14ac:dyDescent="0.2">
      <c r="A47" s="108" t="s">
        <v>131</v>
      </c>
      <c r="B47" s="108"/>
      <c r="C47" s="108"/>
      <c r="D47" s="108"/>
      <c r="E47" s="108"/>
      <c r="F47" s="108"/>
      <c r="G47" s="108"/>
      <c r="H47" s="108"/>
      <c r="I47" s="42">
        <f>I39+I45</f>
        <v>435041.83999999997</v>
      </c>
    </row>
  </sheetData>
  <mergeCells count="39">
    <mergeCell ref="A3:I3"/>
    <mergeCell ref="A15:I15"/>
    <mergeCell ref="A5:H5"/>
    <mergeCell ref="A6:A7"/>
    <mergeCell ref="B6:B7"/>
    <mergeCell ref="C6:C7"/>
    <mergeCell ref="D6:D7"/>
    <mergeCell ref="H6:H7"/>
    <mergeCell ref="D19:D20"/>
    <mergeCell ref="E19:E20"/>
    <mergeCell ref="I19:I20"/>
    <mergeCell ref="A17:H17"/>
    <mergeCell ref="A10:H10"/>
    <mergeCell ref="A11:A12"/>
    <mergeCell ref="B11:B12"/>
    <mergeCell ref="C11:C12"/>
    <mergeCell ref="D11:D12"/>
    <mergeCell ref="H11:H12"/>
    <mergeCell ref="A47:H47"/>
    <mergeCell ref="B35:B36"/>
    <mergeCell ref="C35:C36"/>
    <mergeCell ref="D35:D36"/>
    <mergeCell ref="E35:E36"/>
    <mergeCell ref="A1:I1"/>
    <mergeCell ref="B41:B42"/>
    <mergeCell ref="C41:C42"/>
    <mergeCell ref="D41:D42"/>
    <mergeCell ref="E41:E42"/>
    <mergeCell ref="I41:I42"/>
    <mergeCell ref="I35:I36"/>
    <mergeCell ref="A33:H33"/>
    <mergeCell ref="B25:B26"/>
    <mergeCell ref="C25:C26"/>
    <mergeCell ref="D25:D26"/>
    <mergeCell ref="E25:E26"/>
    <mergeCell ref="I25:I26"/>
    <mergeCell ref="A31:H31"/>
    <mergeCell ref="B19:B20"/>
    <mergeCell ref="C19:C2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tabSelected="1" topLeftCell="A10" workbookViewId="0">
      <selection activeCell="F30" sqref="F30"/>
    </sheetView>
  </sheetViews>
  <sheetFormatPr defaultRowHeight="15" x14ac:dyDescent="0.25"/>
  <cols>
    <col min="1" max="1" width="7.85546875" style="45" customWidth="1"/>
    <col min="2" max="2" width="39.28515625" style="45" customWidth="1"/>
    <col min="3" max="5" width="13.7109375" style="45" customWidth="1"/>
    <col min="6" max="6" width="14.5703125" style="45" bestFit="1" customWidth="1"/>
    <col min="7" max="16384" width="9.140625" style="45"/>
  </cols>
  <sheetData>
    <row r="1" spans="1:6" ht="18.75" x14ac:dyDescent="0.3">
      <c r="A1" s="112" t="s">
        <v>136</v>
      </c>
      <c r="B1" s="112"/>
      <c r="C1" s="112"/>
      <c r="D1" s="112"/>
      <c r="E1" s="112"/>
      <c r="F1" s="112"/>
    </row>
    <row r="3" spans="1:6" x14ac:dyDescent="0.25">
      <c r="A3" s="113" t="s">
        <v>169</v>
      </c>
      <c r="B3" s="113"/>
      <c r="C3" s="113"/>
      <c r="D3" s="113"/>
      <c r="E3" s="113"/>
      <c r="F3" s="113"/>
    </row>
    <row r="5" spans="1:6" x14ac:dyDescent="0.25">
      <c r="A5" s="114" t="s">
        <v>137</v>
      </c>
      <c r="B5" s="114"/>
      <c r="C5" s="114"/>
      <c r="D5" s="114"/>
      <c r="E5" s="114"/>
      <c r="F5" s="114"/>
    </row>
    <row r="7" spans="1:6" ht="28.5" x14ac:dyDescent="0.25">
      <c r="A7" s="64" t="s">
        <v>139</v>
      </c>
      <c r="B7" s="64" t="s">
        <v>140</v>
      </c>
      <c r="C7" s="65" t="s">
        <v>141</v>
      </c>
      <c r="D7" s="65" t="s">
        <v>142</v>
      </c>
      <c r="E7" s="65" t="s">
        <v>143</v>
      </c>
      <c r="F7" s="65" t="s">
        <v>144</v>
      </c>
    </row>
    <row r="8" spans="1:6" ht="30" x14ac:dyDescent="0.25">
      <c r="A8" s="60">
        <v>1</v>
      </c>
      <c r="B8" s="61" t="str">
        <f>MCam44!A13</f>
        <v>Motorista de caminhão 25m3 com jornada semanal de 44 horas</v>
      </c>
      <c r="C8" s="62">
        <f>MCam44!D157</f>
        <v>5897.2169149425299</v>
      </c>
      <c r="D8" s="62">
        <f t="shared" ref="D8:D9" si="0">C8*1</f>
        <v>5897.2169149425299</v>
      </c>
      <c r="E8" s="60">
        <v>12</v>
      </c>
      <c r="F8" s="62">
        <f t="shared" ref="F8:F9" si="1">D8*E8</f>
        <v>70766.602979310352</v>
      </c>
    </row>
    <row r="9" spans="1:6" ht="30" x14ac:dyDescent="0.25">
      <c r="A9" s="60">
        <v>2</v>
      </c>
      <c r="B9" s="61" t="str">
        <f>MRep!A13</f>
        <v>Motorista de Representação com jornada semanal de 44 horas</v>
      </c>
      <c r="C9" s="62">
        <f>MRep!D157</f>
        <v>5970.1497885057479</v>
      </c>
      <c r="D9" s="62">
        <f t="shared" si="0"/>
        <v>5970.1497885057479</v>
      </c>
      <c r="E9" s="60">
        <v>9</v>
      </c>
      <c r="F9" s="62">
        <f t="shared" si="1"/>
        <v>53731.34809655173</v>
      </c>
    </row>
    <row r="10" spans="1:6" x14ac:dyDescent="0.25">
      <c r="A10" s="115" t="s">
        <v>138</v>
      </c>
      <c r="B10" s="115"/>
      <c r="C10" s="115"/>
      <c r="D10" s="115"/>
      <c r="E10" s="115"/>
      <c r="F10" s="67">
        <f>SUM(F8:F9)</f>
        <v>124497.95107586207</v>
      </c>
    </row>
    <row r="11" spans="1:6" x14ac:dyDescent="0.25">
      <c r="A11" s="70"/>
      <c r="B11" s="70"/>
      <c r="C11" s="70"/>
      <c r="D11" s="70"/>
      <c r="E11" s="70"/>
      <c r="F11" s="71"/>
    </row>
    <row r="12" spans="1:6" x14ac:dyDescent="0.25">
      <c r="A12" s="113" t="s">
        <v>170</v>
      </c>
      <c r="B12" s="113"/>
      <c r="C12" s="113"/>
      <c r="D12" s="113"/>
      <c r="E12" s="113"/>
      <c r="F12" s="113"/>
    </row>
    <row r="13" spans="1:6" x14ac:dyDescent="0.25">
      <c r="A13" s="70"/>
      <c r="B13" s="70"/>
      <c r="C13" s="70"/>
      <c r="D13" s="70"/>
      <c r="E13" s="70"/>
      <c r="F13" s="71"/>
    </row>
    <row r="14" spans="1:6" ht="28.5" x14ac:dyDescent="0.25">
      <c r="A14" s="64" t="s">
        <v>139</v>
      </c>
      <c r="B14" s="64" t="s">
        <v>140</v>
      </c>
      <c r="C14" s="65" t="s">
        <v>141</v>
      </c>
      <c r="D14" s="65" t="s">
        <v>142</v>
      </c>
      <c r="E14" s="65" t="s">
        <v>143</v>
      </c>
      <c r="F14" s="65" t="s">
        <v>144</v>
      </c>
    </row>
    <row r="15" spans="1:6" ht="45" x14ac:dyDescent="0.25">
      <c r="A15" s="60">
        <v>3</v>
      </c>
      <c r="B15" s="61" t="str">
        <f>MCam44temp!A13</f>
        <v>Motorista de caminhão 25m3 com jornada semanal de 44 horas - acréscimo temporário - tópico 4.1.1 do TR</v>
      </c>
      <c r="C15" s="62">
        <f>MCam44temp!D157</f>
        <v>5582.6771448275867</v>
      </c>
      <c r="D15" s="62">
        <f>C15*1</f>
        <v>5582.6771448275867</v>
      </c>
      <c r="E15" s="60">
        <v>4</v>
      </c>
      <c r="F15" s="62">
        <f>D15*E15</f>
        <v>22330.708579310347</v>
      </c>
    </row>
    <row r="16" spans="1:6" x14ac:dyDescent="0.25">
      <c r="A16" s="115" t="s">
        <v>171</v>
      </c>
      <c r="B16" s="115"/>
      <c r="C16" s="115"/>
      <c r="D16" s="115"/>
      <c r="E16" s="115"/>
      <c r="F16" s="67">
        <f>SUM(F13:F15)</f>
        <v>22330.708579310347</v>
      </c>
    </row>
    <row r="17" spans="1:6" x14ac:dyDescent="0.25">
      <c r="F17" s="46"/>
    </row>
    <row r="18" spans="1:6" x14ac:dyDescent="0.25">
      <c r="A18" s="113" t="s">
        <v>160</v>
      </c>
      <c r="B18" s="113"/>
      <c r="C18" s="113"/>
      <c r="D18" s="113"/>
      <c r="E18" s="113"/>
      <c r="F18" s="113"/>
    </row>
    <row r="19" spans="1:6" x14ac:dyDescent="0.25">
      <c r="F19" s="46"/>
    </row>
    <row r="20" spans="1:6" x14ac:dyDescent="0.25">
      <c r="A20" s="111" t="s">
        <v>168</v>
      </c>
      <c r="B20" s="111"/>
      <c r="C20" s="111"/>
      <c r="D20" s="111"/>
      <c r="E20" s="111"/>
      <c r="F20" s="63">
        <f>F10*12</f>
        <v>1493975.412910345</v>
      </c>
    </row>
    <row r="21" spans="1:6" x14ac:dyDescent="0.25">
      <c r="A21" s="111" t="s">
        <v>165</v>
      </c>
      <c r="B21" s="111"/>
      <c r="C21" s="111"/>
      <c r="D21" s="111"/>
      <c r="E21" s="111"/>
      <c r="F21" s="63">
        <f>diárias!C27</f>
        <v>258679.08000000002</v>
      </c>
    </row>
    <row r="22" spans="1:6" x14ac:dyDescent="0.25">
      <c r="A22" s="111" t="s">
        <v>166</v>
      </c>
      <c r="B22" s="111"/>
      <c r="C22" s="111"/>
      <c r="D22" s="111"/>
      <c r="E22" s="111"/>
      <c r="F22" s="63">
        <f>'AN e HE'!H8</f>
        <v>3469.5300000000007</v>
      </c>
    </row>
    <row r="23" spans="1:6" x14ac:dyDescent="0.25">
      <c r="A23" s="111" t="s">
        <v>167</v>
      </c>
      <c r="B23" s="111"/>
      <c r="C23" s="111"/>
      <c r="D23" s="111"/>
      <c r="E23" s="111"/>
      <c r="F23" s="63">
        <f>'AN e HE'!I31</f>
        <v>162297.34909140668</v>
      </c>
    </row>
    <row r="24" spans="1:6" x14ac:dyDescent="0.25">
      <c r="A24" s="115" t="s">
        <v>161</v>
      </c>
      <c r="B24" s="115"/>
      <c r="C24" s="115"/>
      <c r="D24" s="115"/>
      <c r="E24" s="115"/>
      <c r="F24" s="66">
        <f>SUM(F20:F23)</f>
        <v>1918421.3720017518</v>
      </c>
    </row>
    <row r="26" spans="1:6" x14ac:dyDescent="0.25">
      <c r="A26" s="113" t="s">
        <v>162</v>
      </c>
      <c r="B26" s="113"/>
      <c r="C26" s="113"/>
      <c r="D26" s="113"/>
      <c r="E26" s="113"/>
      <c r="F26" s="113"/>
    </row>
    <row r="28" spans="1:6" x14ac:dyDescent="0.25">
      <c r="A28" s="111" t="s">
        <v>168</v>
      </c>
      <c r="B28" s="111"/>
      <c r="C28" s="111"/>
      <c r="D28" s="111"/>
      <c r="E28" s="111"/>
      <c r="F28" s="63">
        <f>F10*12</f>
        <v>1493975.412910345</v>
      </c>
    </row>
    <row r="29" spans="1:6" x14ac:dyDescent="0.25">
      <c r="A29" s="111" t="s">
        <v>172</v>
      </c>
      <c r="B29" s="111"/>
      <c r="C29" s="111"/>
      <c r="D29" s="111"/>
      <c r="E29" s="111"/>
      <c r="F29" s="63">
        <f>F16*5</f>
        <v>111653.54289655173</v>
      </c>
    </row>
    <row r="30" spans="1:6" x14ac:dyDescent="0.25">
      <c r="A30" s="111" t="s">
        <v>165</v>
      </c>
      <c r="B30" s="111"/>
      <c r="C30" s="111"/>
      <c r="D30" s="111"/>
      <c r="E30" s="111"/>
      <c r="F30" s="63">
        <f>diárias!E27</f>
        <v>328965.12</v>
      </c>
    </row>
    <row r="31" spans="1:6" x14ac:dyDescent="0.25">
      <c r="A31" s="111" t="s">
        <v>166</v>
      </c>
      <c r="B31" s="111"/>
      <c r="C31" s="111"/>
      <c r="D31" s="111"/>
      <c r="E31" s="111"/>
      <c r="F31" s="63">
        <f>'AN e HE'!H13</f>
        <v>10794.109999999999</v>
      </c>
    </row>
    <row r="32" spans="1:6" x14ac:dyDescent="0.25">
      <c r="A32" s="111" t="s">
        <v>167</v>
      </c>
      <c r="B32" s="111"/>
      <c r="C32" s="111"/>
      <c r="D32" s="111"/>
      <c r="E32" s="111"/>
      <c r="F32" s="63">
        <f>'AN e HE'!I47</f>
        <v>435041.83999999997</v>
      </c>
    </row>
    <row r="33" spans="1:6" x14ac:dyDescent="0.25">
      <c r="A33" s="116" t="s">
        <v>163</v>
      </c>
      <c r="B33" s="117"/>
      <c r="C33" s="117"/>
      <c r="D33" s="117"/>
      <c r="E33" s="118"/>
      <c r="F33" s="66">
        <f>SUM(F28:F32)</f>
        <v>2380430.0258068969</v>
      </c>
    </row>
    <row r="35" spans="1:6" x14ac:dyDescent="0.25">
      <c r="A35" s="119" t="s">
        <v>164</v>
      </c>
      <c r="B35" s="119"/>
      <c r="C35" s="119"/>
      <c r="D35" s="119"/>
      <c r="E35" s="119"/>
      <c r="F35" s="68">
        <f>F24+F33</f>
        <v>4298851.3978086486</v>
      </c>
    </row>
  </sheetData>
  <mergeCells count="20">
    <mergeCell ref="A32:E32"/>
    <mergeCell ref="A33:E33"/>
    <mergeCell ref="A35:E35"/>
    <mergeCell ref="A23:E23"/>
    <mergeCell ref="A24:E24"/>
    <mergeCell ref="A28:E28"/>
    <mergeCell ref="A29:E29"/>
    <mergeCell ref="A30:E30"/>
    <mergeCell ref="A31:E31"/>
    <mergeCell ref="A26:F26"/>
    <mergeCell ref="A20:E20"/>
    <mergeCell ref="A21:E21"/>
    <mergeCell ref="A22:E22"/>
    <mergeCell ref="A1:F1"/>
    <mergeCell ref="A3:F3"/>
    <mergeCell ref="A5:F5"/>
    <mergeCell ref="A10:E10"/>
    <mergeCell ref="A18:F18"/>
    <mergeCell ref="A12:F12"/>
    <mergeCell ref="A16:E1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MCam44</vt:lpstr>
      <vt:lpstr>MRep</vt:lpstr>
      <vt:lpstr>MCam44temp</vt:lpstr>
      <vt:lpstr>diárias</vt:lpstr>
      <vt:lpstr>AN e HE</vt:lpstr>
      <vt:lpstr>Total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Marconni Rodrigues de Alcantara Santos</cp:lastModifiedBy>
  <cp:lastPrinted>2019-07-24T20:32:12Z</cp:lastPrinted>
  <dcterms:created xsi:type="dcterms:W3CDTF">2019-01-29T18:54:26Z</dcterms:created>
  <dcterms:modified xsi:type="dcterms:W3CDTF">2019-09-16T22:25:36Z</dcterms:modified>
</cp:coreProperties>
</file>