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545" tabRatio="864" activeTab="3"/>
  </bookViews>
  <sheets>
    <sheet name="Postos" sheetId="20" r:id="rId1"/>
    <sheet name="EPIs" sheetId="10" r:id="rId2"/>
    <sheet name="Hora extra" sheetId="11" r:id="rId3"/>
    <sheet name="RESUMO" sheetId="8" r:id="rId4"/>
    <sheet name="Deslocamento 1 município" sheetId="12" r:id="rId5"/>
    <sheet name="Deslocamento 2 municípios" sheetId="13" r:id="rId6"/>
    <sheet name="Deslocamento 3 municípios" sheetId="14" r:id="rId7"/>
    <sheet name="Deslocamento 4 municípios" sheetId="15" r:id="rId8"/>
    <sheet name="Deslocamento 5 municípios" sheetId="16" r:id="rId9"/>
    <sheet name="DESLOC.MÉDIO" sheetId="17" r:id="rId10"/>
    <sheet name="TOTAL DESLOCAMENTO" sheetId="18" r:id="rId11"/>
    <sheet name="Valor médio gasolina comum" sheetId="19" r:id="rId12"/>
  </sheets>
  <definedNames>
    <definedName name="_xlnm.Print_Area" localSheetId="9">DESLOC.MÉDIO!$A$1:$B$11</definedName>
    <definedName name="_xlnm.Print_Area" localSheetId="4">'Deslocamento 1 município'!$A$1:$O$37</definedName>
    <definedName name="_xlnm.Print_Area" localSheetId="5">'Deslocamento 2 municípios'!$A$1:$O$47</definedName>
    <definedName name="_xlnm.Print_Area" localSheetId="6">'Deslocamento 3 municípios'!$A$1:$O$44</definedName>
    <definedName name="_xlnm.Print_Area" localSheetId="7">'Deslocamento 4 municípios'!$A$1:$O$40</definedName>
    <definedName name="_xlnm.Print_Area" localSheetId="8">'Deslocamento 5 municípios'!$A$1:$O$37</definedName>
    <definedName name="_xlnm.Print_Area" localSheetId="3">RESUMO!$A$1:$F$7</definedName>
    <definedName name="_xlnm.Print_Area" localSheetId="10">'TOTAL DESLOCAMENTO'!$A$1:$C$7</definedName>
    <definedName name="Print_Area" localSheetId="3">RESUMO!$A$1:$I$2</definedName>
  </definedNames>
  <calcPr calcId="145621"/>
</workbook>
</file>

<file path=xl/calcChain.xml><?xml version="1.0" encoding="utf-8"?>
<calcChain xmlns="http://schemas.openxmlformats.org/spreadsheetml/2006/main">
  <c r="N17" i="16" l="1"/>
  <c r="N17" i="15"/>
  <c r="N17" i="14"/>
  <c r="N16" i="13"/>
  <c r="N15" i="12"/>
  <c r="D97" i="20"/>
  <c r="C72" i="20"/>
  <c r="D116" i="20"/>
  <c r="D51" i="20"/>
  <c r="D55" i="20" s="1"/>
  <c r="D63" i="20" s="1"/>
  <c r="D50" i="20"/>
  <c r="D13" i="20"/>
  <c r="C3" i="8"/>
  <c r="D138" i="20"/>
  <c r="C124" i="20"/>
  <c r="C128" i="20" s="1"/>
  <c r="C4" i="8" s="1"/>
  <c r="C85" i="20"/>
  <c r="C44" i="20"/>
  <c r="C74" i="20" s="1"/>
  <c r="D40" i="20"/>
  <c r="C29" i="20"/>
  <c r="C28" i="20"/>
  <c r="D20" i="20"/>
  <c r="D134" i="20" s="1"/>
  <c r="D85" i="20" l="1"/>
  <c r="D36" i="20"/>
  <c r="D41" i="20"/>
  <c r="D72" i="20"/>
  <c r="D87" i="20"/>
  <c r="D37" i="20"/>
  <c r="D43" i="20"/>
  <c r="D70" i="20"/>
  <c r="D73" i="20"/>
  <c r="D88" i="20"/>
  <c r="B6" i="11"/>
  <c r="D28" i="20"/>
  <c r="D39" i="20"/>
  <c r="D74" i="20"/>
  <c r="D75" i="20"/>
  <c r="D89" i="20"/>
  <c r="C76" i="20"/>
  <c r="D29" i="20"/>
  <c r="D30" i="20" s="1"/>
  <c r="D61" i="20" s="1"/>
  <c r="D38" i="20"/>
  <c r="D44" i="20" s="1"/>
  <c r="D62" i="20" s="1"/>
  <c r="D42" i="20"/>
  <c r="D71" i="20"/>
  <c r="D86" i="20"/>
  <c r="D90" i="20"/>
  <c r="E6" i="11" l="1"/>
  <c r="F6" i="11"/>
  <c r="D76" i="20"/>
  <c r="D136" i="20" s="1"/>
  <c r="D91" i="20"/>
  <c r="D104" i="20" s="1"/>
  <c r="D64" i="20"/>
  <c r="F4" i="8"/>
  <c r="F3" i="8"/>
  <c r="B7" i="18"/>
  <c r="B6" i="18"/>
  <c r="B5" i="18"/>
  <c r="N19" i="16"/>
  <c r="N20" i="16"/>
  <c r="N21" i="16"/>
  <c r="N22" i="16"/>
  <c r="N23" i="16"/>
  <c r="N24" i="16"/>
  <c r="N25" i="16"/>
  <c r="N26" i="16"/>
  <c r="N27" i="16"/>
  <c r="N28" i="16"/>
  <c r="N29" i="16"/>
  <c r="N30" i="16"/>
  <c r="N31" i="16"/>
  <c r="N32" i="16"/>
  <c r="N33" i="16"/>
  <c r="N34" i="16"/>
  <c r="N35" i="16"/>
  <c r="N36" i="16"/>
  <c r="N37" i="16"/>
  <c r="N18" i="16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18" i="15"/>
  <c r="N19" i="14"/>
  <c r="N20" i="14"/>
  <c r="N21" i="14"/>
  <c r="N22" i="14"/>
  <c r="N23" i="14"/>
  <c r="N24" i="14"/>
  <c r="N25" i="14"/>
  <c r="N26" i="14"/>
  <c r="N27" i="14"/>
  <c r="N28" i="14"/>
  <c r="N29" i="14"/>
  <c r="N30" i="14"/>
  <c r="N31" i="14"/>
  <c r="N32" i="14"/>
  <c r="N33" i="14"/>
  <c r="N34" i="14"/>
  <c r="N35" i="14"/>
  <c r="N36" i="14"/>
  <c r="N37" i="14"/>
  <c r="N38" i="14"/>
  <c r="N39" i="14"/>
  <c r="N40" i="14"/>
  <c r="N41" i="14"/>
  <c r="N42" i="14"/>
  <c r="N43" i="14"/>
  <c r="N44" i="14"/>
  <c r="N18" i="14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17" i="13"/>
  <c r="N18" i="12"/>
  <c r="N19" i="12"/>
  <c r="N20" i="12"/>
  <c r="N21" i="12"/>
  <c r="N22" i="12"/>
  <c r="N23" i="12"/>
  <c r="N24" i="12"/>
  <c r="N25" i="12"/>
  <c r="N26" i="12"/>
  <c r="N27" i="12"/>
  <c r="N28" i="12"/>
  <c r="N29" i="12"/>
  <c r="N30" i="12"/>
  <c r="N31" i="12"/>
  <c r="N32" i="12"/>
  <c r="N33" i="12"/>
  <c r="N34" i="12"/>
  <c r="N35" i="12"/>
  <c r="N36" i="12"/>
  <c r="N37" i="12"/>
  <c r="N17" i="12"/>
  <c r="N16" i="12"/>
  <c r="C35" i="19"/>
  <c r="F10" i="14" s="1"/>
  <c r="F10" i="16"/>
  <c r="J36" i="16" s="1"/>
  <c r="C18" i="16"/>
  <c r="J18" i="16" s="1"/>
  <c r="D18" i="16"/>
  <c r="F18" i="16" s="1"/>
  <c r="G18" i="16" s="1"/>
  <c r="H18" i="16" s="1"/>
  <c r="C19" i="16"/>
  <c r="D19" i="16"/>
  <c r="F19" i="16"/>
  <c r="G19" i="16" s="1"/>
  <c r="H19" i="16" s="1"/>
  <c r="C20" i="16"/>
  <c r="D20" i="16"/>
  <c r="F20" i="16" s="1"/>
  <c r="G20" i="16" s="1"/>
  <c r="H20" i="16" s="1"/>
  <c r="J20" i="16"/>
  <c r="C21" i="16"/>
  <c r="D21" i="16"/>
  <c r="F21" i="16" s="1"/>
  <c r="G21" i="16" s="1"/>
  <c r="H21" i="16" s="1"/>
  <c r="C22" i="16"/>
  <c r="J22" i="16" s="1"/>
  <c r="D22" i="16"/>
  <c r="F22" i="16" s="1"/>
  <c r="G22" i="16" s="1"/>
  <c r="H22" i="16" s="1"/>
  <c r="C23" i="16"/>
  <c r="D23" i="16"/>
  <c r="F23" i="16"/>
  <c r="G23" i="16" s="1"/>
  <c r="H23" i="16" s="1"/>
  <c r="J23" i="16"/>
  <c r="C24" i="16"/>
  <c r="D24" i="16"/>
  <c r="F24" i="16" s="1"/>
  <c r="G24" i="16" s="1"/>
  <c r="H24" i="16" s="1"/>
  <c r="J24" i="16"/>
  <c r="C25" i="16"/>
  <c r="J25" i="16" s="1"/>
  <c r="D25" i="16"/>
  <c r="F25" i="16" s="1"/>
  <c r="G25" i="16" s="1"/>
  <c r="H25" i="16" s="1"/>
  <c r="C26" i="16"/>
  <c r="D26" i="16"/>
  <c r="F26" i="16" s="1"/>
  <c r="G26" i="16" s="1"/>
  <c r="H26" i="16" s="1"/>
  <c r="C27" i="16"/>
  <c r="D27" i="16"/>
  <c r="F27" i="16"/>
  <c r="G27" i="16"/>
  <c r="H27" i="16" s="1"/>
  <c r="J27" i="16"/>
  <c r="C28" i="16"/>
  <c r="D28" i="16"/>
  <c r="F28" i="16"/>
  <c r="G28" i="16" s="1"/>
  <c r="H28" i="16" s="1"/>
  <c r="J28" i="16"/>
  <c r="C29" i="16"/>
  <c r="D29" i="16"/>
  <c r="F29" i="16" s="1"/>
  <c r="G29" i="16" s="1"/>
  <c r="H29" i="16" s="1"/>
  <c r="J29" i="16"/>
  <c r="C30" i="16"/>
  <c r="J30" i="16" s="1"/>
  <c r="D30" i="16"/>
  <c r="F30" i="16" s="1"/>
  <c r="G30" i="16" s="1"/>
  <c r="H30" i="16" s="1"/>
  <c r="C31" i="16"/>
  <c r="D31" i="16"/>
  <c r="F31" i="16"/>
  <c r="G31" i="16"/>
  <c r="H31" i="16" s="1"/>
  <c r="C32" i="16"/>
  <c r="D32" i="16"/>
  <c r="F32" i="16"/>
  <c r="G32" i="16" s="1"/>
  <c r="H32" i="16" s="1"/>
  <c r="C33" i="16"/>
  <c r="D33" i="16"/>
  <c r="F33" i="16" s="1"/>
  <c r="G33" i="16" s="1"/>
  <c r="H33" i="16" s="1"/>
  <c r="J33" i="16"/>
  <c r="C34" i="16"/>
  <c r="D34" i="16"/>
  <c r="F34" i="16" s="1"/>
  <c r="G34" i="16" s="1"/>
  <c r="H34" i="16" s="1"/>
  <c r="C35" i="16"/>
  <c r="J35" i="16" s="1"/>
  <c r="D35" i="16"/>
  <c r="F35" i="16"/>
  <c r="G35" i="16"/>
  <c r="H35" i="16" s="1"/>
  <c r="C36" i="16"/>
  <c r="D36" i="16"/>
  <c r="F36" i="16"/>
  <c r="G36" i="16" s="1"/>
  <c r="H36" i="16" s="1"/>
  <c r="C37" i="16"/>
  <c r="D37" i="16"/>
  <c r="F37" i="16" s="1"/>
  <c r="G37" i="16" s="1"/>
  <c r="H37" i="16" s="1"/>
  <c r="F9" i="15"/>
  <c r="J20" i="15" s="1"/>
  <c r="C18" i="15"/>
  <c r="J18" i="15" s="1"/>
  <c r="D18" i="15"/>
  <c r="F18" i="15" s="1"/>
  <c r="G18" i="15" s="1"/>
  <c r="H18" i="15" s="1"/>
  <c r="C19" i="15"/>
  <c r="D19" i="15"/>
  <c r="F19" i="15"/>
  <c r="G19" i="15" s="1"/>
  <c r="H19" i="15" s="1"/>
  <c r="J19" i="15"/>
  <c r="C20" i="15"/>
  <c r="D20" i="15"/>
  <c r="F20" i="15" s="1"/>
  <c r="G20" i="15" s="1"/>
  <c r="H20" i="15" s="1"/>
  <c r="C21" i="15"/>
  <c r="J21" i="15" s="1"/>
  <c r="D21" i="15"/>
  <c r="F21" i="15"/>
  <c r="G21" i="15" s="1"/>
  <c r="H21" i="15" s="1"/>
  <c r="C22" i="15"/>
  <c r="J22" i="15" s="1"/>
  <c r="D22" i="15"/>
  <c r="F22" i="15" s="1"/>
  <c r="G22" i="15" s="1"/>
  <c r="H22" i="15" s="1"/>
  <c r="C23" i="15"/>
  <c r="D23" i="15"/>
  <c r="F23" i="15"/>
  <c r="G23" i="15" s="1"/>
  <c r="H23" i="15" s="1"/>
  <c r="J23" i="15"/>
  <c r="C24" i="15"/>
  <c r="D24" i="15"/>
  <c r="F24" i="15" s="1"/>
  <c r="G24" i="15" s="1"/>
  <c r="H24" i="15" s="1"/>
  <c r="C25" i="15"/>
  <c r="J25" i="15" s="1"/>
  <c r="D25" i="15"/>
  <c r="F25" i="15"/>
  <c r="G25" i="15" s="1"/>
  <c r="H25" i="15" s="1"/>
  <c r="C26" i="15"/>
  <c r="D26" i="15"/>
  <c r="F26" i="15" s="1"/>
  <c r="G26" i="15" s="1"/>
  <c r="H26" i="15" s="1"/>
  <c r="C27" i="15"/>
  <c r="J27" i="15" s="1"/>
  <c r="D27" i="15"/>
  <c r="F27" i="15"/>
  <c r="G27" i="15" s="1"/>
  <c r="H27" i="15" s="1"/>
  <c r="C28" i="15"/>
  <c r="D28" i="15"/>
  <c r="F28" i="15" s="1"/>
  <c r="G28" i="15" s="1"/>
  <c r="H28" i="15" s="1"/>
  <c r="C29" i="15"/>
  <c r="D29" i="15"/>
  <c r="F29" i="15"/>
  <c r="G29" i="15" s="1"/>
  <c r="H29" i="15" s="1"/>
  <c r="J29" i="15"/>
  <c r="C30" i="15"/>
  <c r="J30" i="15" s="1"/>
  <c r="D30" i="15"/>
  <c r="F30" i="15" s="1"/>
  <c r="G30" i="15" s="1"/>
  <c r="H30" i="15" s="1"/>
  <c r="C31" i="15"/>
  <c r="J31" i="15" s="1"/>
  <c r="D31" i="15"/>
  <c r="F31" i="15"/>
  <c r="G31" i="15" s="1"/>
  <c r="H31" i="15" s="1"/>
  <c r="C32" i="15"/>
  <c r="D32" i="15"/>
  <c r="F32" i="15" s="1"/>
  <c r="G32" i="15"/>
  <c r="H32" i="15" s="1"/>
  <c r="I32" i="15" s="1"/>
  <c r="L32" i="15" s="1"/>
  <c r="C33" i="15"/>
  <c r="D33" i="15"/>
  <c r="F33" i="15"/>
  <c r="G33" i="15" s="1"/>
  <c r="H33" i="15" s="1"/>
  <c r="J33" i="15"/>
  <c r="C34" i="15"/>
  <c r="J34" i="15" s="1"/>
  <c r="M34" i="15" s="1"/>
  <c r="D34" i="15"/>
  <c r="F34" i="15" s="1"/>
  <c r="G34" i="15" s="1"/>
  <c r="H34" i="15" s="1"/>
  <c r="K34" i="15" s="1"/>
  <c r="I34" i="15"/>
  <c r="L34" i="15" s="1"/>
  <c r="C35" i="15"/>
  <c r="J35" i="15" s="1"/>
  <c r="D35" i="15"/>
  <c r="F35" i="15"/>
  <c r="G35" i="15" s="1"/>
  <c r="H35" i="15"/>
  <c r="C36" i="15"/>
  <c r="D36" i="15"/>
  <c r="F36" i="15" s="1"/>
  <c r="G36" i="15"/>
  <c r="H36" i="15" s="1"/>
  <c r="I36" i="15" s="1"/>
  <c r="L36" i="15" s="1"/>
  <c r="J36" i="15"/>
  <c r="C37" i="15"/>
  <c r="D37" i="15"/>
  <c r="F37" i="15"/>
  <c r="G37" i="15" s="1"/>
  <c r="H37" i="15"/>
  <c r="J37" i="15"/>
  <c r="C38" i="15"/>
  <c r="J38" i="15" s="1"/>
  <c r="D38" i="15"/>
  <c r="F38" i="15" s="1"/>
  <c r="G38" i="15"/>
  <c r="H38" i="15" s="1"/>
  <c r="K38" i="15" s="1"/>
  <c r="I38" i="15"/>
  <c r="L38" i="15" s="1"/>
  <c r="C39" i="15"/>
  <c r="J39" i="15" s="1"/>
  <c r="D39" i="15"/>
  <c r="F39" i="15"/>
  <c r="G39" i="15" s="1"/>
  <c r="H39" i="15"/>
  <c r="C40" i="15"/>
  <c r="D40" i="15"/>
  <c r="F40" i="15" s="1"/>
  <c r="G40" i="15"/>
  <c r="H40" i="15" s="1"/>
  <c r="K40" i="15" s="1"/>
  <c r="I40" i="15"/>
  <c r="L40" i="15" s="1"/>
  <c r="J40" i="15"/>
  <c r="C18" i="14"/>
  <c r="D18" i="14"/>
  <c r="F18" i="14" s="1"/>
  <c r="G18" i="14" s="1"/>
  <c r="H18" i="14" s="1"/>
  <c r="K18" i="14" s="1"/>
  <c r="C19" i="14"/>
  <c r="D19" i="14"/>
  <c r="F19" i="14"/>
  <c r="G19" i="14" s="1"/>
  <c r="H19" i="14"/>
  <c r="C20" i="14"/>
  <c r="D20" i="14"/>
  <c r="F20" i="14" s="1"/>
  <c r="G20" i="14"/>
  <c r="H20" i="14" s="1"/>
  <c r="I20" i="14" s="1"/>
  <c r="L20" i="14" s="1"/>
  <c r="C21" i="14"/>
  <c r="D21" i="14"/>
  <c r="F21" i="14"/>
  <c r="G21" i="14" s="1"/>
  <c r="H21" i="14" s="1"/>
  <c r="C22" i="14"/>
  <c r="D22" i="14"/>
  <c r="F22" i="14" s="1"/>
  <c r="G22" i="14" s="1"/>
  <c r="H22" i="14" s="1"/>
  <c r="K22" i="14" s="1"/>
  <c r="I22" i="14"/>
  <c r="L22" i="14" s="1"/>
  <c r="C23" i="14"/>
  <c r="D23" i="14"/>
  <c r="F23" i="14"/>
  <c r="G23" i="14" s="1"/>
  <c r="H23" i="14"/>
  <c r="C24" i="14"/>
  <c r="D24" i="14"/>
  <c r="F24" i="14" s="1"/>
  <c r="G24" i="14"/>
  <c r="H24" i="14" s="1"/>
  <c r="I24" i="14" s="1"/>
  <c r="L24" i="14" s="1"/>
  <c r="C25" i="14"/>
  <c r="D25" i="14"/>
  <c r="F25" i="14"/>
  <c r="G25" i="14" s="1"/>
  <c r="H25" i="14" s="1"/>
  <c r="C26" i="14"/>
  <c r="D26" i="14"/>
  <c r="F26" i="14" s="1"/>
  <c r="G26" i="14" s="1"/>
  <c r="H26" i="14"/>
  <c r="K26" i="14" s="1"/>
  <c r="I26" i="14"/>
  <c r="L26" i="14" s="1"/>
  <c r="C27" i="14"/>
  <c r="D27" i="14"/>
  <c r="F27" i="14"/>
  <c r="G27" i="14" s="1"/>
  <c r="H27" i="14" s="1"/>
  <c r="C28" i="14"/>
  <c r="D28" i="14"/>
  <c r="F28" i="14"/>
  <c r="G28" i="14"/>
  <c r="H28" i="14" s="1"/>
  <c r="K28" i="14" s="1"/>
  <c r="C29" i="14"/>
  <c r="D29" i="14"/>
  <c r="F29" i="14" s="1"/>
  <c r="G29" i="14" s="1"/>
  <c r="H29" i="14" s="1"/>
  <c r="C30" i="14"/>
  <c r="D30" i="14"/>
  <c r="F30" i="14" s="1"/>
  <c r="G30" i="14"/>
  <c r="H30" i="14"/>
  <c r="I30" i="14" s="1"/>
  <c r="L30" i="14" s="1"/>
  <c r="C31" i="14"/>
  <c r="D31" i="14"/>
  <c r="F31" i="14"/>
  <c r="G31" i="14"/>
  <c r="H31" i="14"/>
  <c r="I31" i="14" s="1"/>
  <c r="L31" i="14" s="1"/>
  <c r="C32" i="14"/>
  <c r="D32" i="14"/>
  <c r="F32" i="14"/>
  <c r="G32" i="14" s="1"/>
  <c r="H32" i="14" s="1"/>
  <c r="C33" i="14"/>
  <c r="D33" i="14"/>
  <c r="F33" i="14"/>
  <c r="G33" i="14" s="1"/>
  <c r="H33" i="14"/>
  <c r="K33" i="14" s="1"/>
  <c r="I33" i="14"/>
  <c r="L33" i="14" s="1"/>
  <c r="C34" i="14"/>
  <c r="D34" i="14"/>
  <c r="F34" i="14" s="1"/>
  <c r="G34" i="14"/>
  <c r="H34" i="14" s="1"/>
  <c r="C35" i="14"/>
  <c r="D35" i="14"/>
  <c r="F35" i="14"/>
  <c r="G35" i="14"/>
  <c r="H35" i="14"/>
  <c r="I35" i="14" s="1"/>
  <c r="L35" i="14" s="1"/>
  <c r="C36" i="14"/>
  <c r="D36" i="14"/>
  <c r="F36" i="14" s="1"/>
  <c r="G36" i="14" s="1"/>
  <c r="H36" i="14" s="1"/>
  <c r="C37" i="14"/>
  <c r="D37" i="14"/>
  <c r="F37" i="14"/>
  <c r="G37" i="14" s="1"/>
  <c r="H37" i="14"/>
  <c r="K37" i="14" s="1"/>
  <c r="C38" i="14"/>
  <c r="D38" i="14"/>
  <c r="F38" i="14" s="1"/>
  <c r="G38" i="14" s="1"/>
  <c r="H38" i="14" s="1"/>
  <c r="C39" i="14"/>
  <c r="D39" i="14"/>
  <c r="F39" i="14"/>
  <c r="G39" i="14"/>
  <c r="H39" i="14" s="1"/>
  <c r="C40" i="14"/>
  <c r="D40" i="14"/>
  <c r="F40" i="14"/>
  <c r="G40" i="14"/>
  <c r="H40" i="14" s="1"/>
  <c r="K40" i="14" s="1"/>
  <c r="I40" i="14"/>
  <c r="L40" i="14" s="1"/>
  <c r="C41" i="14"/>
  <c r="D41" i="14"/>
  <c r="F41" i="14"/>
  <c r="G41" i="14" s="1"/>
  <c r="H41" i="14" s="1"/>
  <c r="C42" i="14"/>
  <c r="D42" i="14"/>
  <c r="F42" i="14" s="1"/>
  <c r="G42" i="14"/>
  <c r="H42" i="14"/>
  <c r="K42" i="14" s="1"/>
  <c r="I42" i="14"/>
  <c r="L42" i="14" s="1"/>
  <c r="C43" i="14"/>
  <c r="D43" i="14"/>
  <c r="F43" i="14"/>
  <c r="G43" i="14" s="1"/>
  <c r="H43" i="14" s="1"/>
  <c r="C44" i="14"/>
  <c r="D44" i="14"/>
  <c r="F44" i="14"/>
  <c r="G44" i="14"/>
  <c r="H44" i="14" s="1"/>
  <c r="K44" i="14" s="1"/>
  <c r="F9" i="13"/>
  <c r="C17" i="13"/>
  <c r="J17" i="13" s="1"/>
  <c r="D17" i="13"/>
  <c r="F17" i="13" s="1"/>
  <c r="G17" i="13" s="1"/>
  <c r="H17" i="13" s="1"/>
  <c r="C18" i="13"/>
  <c r="J18" i="13" s="1"/>
  <c r="D18" i="13"/>
  <c r="F18" i="13"/>
  <c r="G18" i="13"/>
  <c r="H18" i="13" s="1"/>
  <c r="C19" i="13"/>
  <c r="D19" i="13"/>
  <c r="F19" i="13"/>
  <c r="G19" i="13" s="1"/>
  <c r="H19" i="13" s="1"/>
  <c r="J19" i="13"/>
  <c r="C20" i="13"/>
  <c r="D20" i="13"/>
  <c r="F20" i="13" s="1"/>
  <c r="G20" i="13" s="1"/>
  <c r="H20" i="13" s="1"/>
  <c r="J20" i="13"/>
  <c r="C21" i="13"/>
  <c r="J21" i="13" s="1"/>
  <c r="D21" i="13"/>
  <c r="F21" i="13" s="1"/>
  <c r="G21" i="13" s="1"/>
  <c r="H21" i="13" s="1"/>
  <c r="C22" i="13"/>
  <c r="J22" i="13" s="1"/>
  <c r="D22" i="13"/>
  <c r="F22" i="13"/>
  <c r="G22" i="13"/>
  <c r="H22" i="13" s="1"/>
  <c r="C23" i="13"/>
  <c r="D23" i="13"/>
  <c r="F23" i="13"/>
  <c r="G23" i="13" s="1"/>
  <c r="H23" i="13" s="1"/>
  <c r="J23" i="13"/>
  <c r="C24" i="13"/>
  <c r="D24" i="13"/>
  <c r="F24" i="13" s="1"/>
  <c r="G24" i="13" s="1"/>
  <c r="H24" i="13" s="1"/>
  <c r="J24" i="13"/>
  <c r="C25" i="13"/>
  <c r="J25" i="13" s="1"/>
  <c r="D25" i="13"/>
  <c r="F25" i="13" s="1"/>
  <c r="G25" i="13" s="1"/>
  <c r="H25" i="13"/>
  <c r="C26" i="13"/>
  <c r="J26" i="13" s="1"/>
  <c r="D26" i="13"/>
  <c r="F26" i="13"/>
  <c r="G26" i="13"/>
  <c r="H26" i="13"/>
  <c r="I26" i="13" s="1"/>
  <c r="L26" i="13" s="1"/>
  <c r="K26" i="13"/>
  <c r="C27" i="13"/>
  <c r="D27" i="13"/>
  <c r="F27" i="13"/>
  <c r="G27" i="13"/>
  <c r="H27" i="13" s="1"/>
  <c r="I27" i="13" s="1"/>
  <c r="L27" i="13" s="1"/>
  <c r="J27" i="13"/>
  <c r="C28" i="13"/>
  <c r="D28" i="13"/>
  <c r="F28" i="13"/>
  <c r="G28" i="13" s="1"/>
  <c r="H28" i="13" s="1"/>
  <c r="K28" i="13" s="1"/>
  <c r="I28" i="13"/>
  <c r="L28" i="13" s="1"/>
  <c r="J28" i="13"/>
  <c r="M28" i="13" s="1"/>
  <c r="C29" i="13"/>
  <c r="J29" i="13" s="1"/>
  <c r="D29" i="13"/>
  <c r="F29" i="13" s="1"/>
  <c r="G29" i="13" s="1"/>
  <c r="H29" i="13" s="1"/>
  <c r="C30" i="13"/>
  <c r="J30" i="13" s="1"/>
  <c r="D30" i="13"/>
  <c r="F30" i="13"/>
  <c r="G30" i="13"/>
  <c r="H30" i="13"/>
  <c r="I30" i="13" s="1"/>
  <c r="K30" i="13"/>
  <c r="L30" i="13"/>
  <c r="C31" i="13"/>
  <c r="D31" i="13"/>
  <c r="F31" i="13"/>
  <c r="G31" i="13"/>
  <c r="H31" i="13" s="1"/>
  <c r="I31" i="13" s="1"/>
  <c r="L31" i="13" s="1"/>
  <c r="J31" i="13"/>
  <c r="K31" i="13"/>
  <c r="C32" i="13"/>
  <c r="D32" i="13"/>
  <c r="F32" i="13" s="1"/>
  <c r="G32" i="13" s="1"/>
  <c r="H32" i="13" s="1"/>
  <c r="J32" i="13"/>
  <c r="C33" i="13"/>
  <c r="J33" i="13" s="1"/>
  <c r="D33" i="13"/>
  <c r="F33" i="13" s="1"/>
  <c r="G33" i="13" s="1"/>
  <c r="H33" i="13"/>
  <c r="K33" i="13" s="1"/>
  <c r="C34" i="13"/>
  <c r="J34" i="13" s="1"/>
  <c r="D34" i="13"/>
  <c r="F34" i="13"/>
  <c r="G34" i="13"/>
  <c r="H34" i="13" s="1"/>
  <c r="C35" i="13"/>
  <c r="D35" i="13"/>
  <c r="F35" i="13"/>
  <c r="G35" i="13" s="1"/>
  <c r="H35" i="13" s="1"/>
  <c r="J35" i="13"/>
  <c r="C36" i="13"/>
  <c r="D36" i="13"/>
  <c r="F36" i="13"/>
  <c r="G36" i="13" s="1"/>
  <c r="H36" i="13" s="1"/>
  <c r="K36" i="13" s="1"/>
  <c r="J36" i="13"/>
  <c r="C37" i="13"/>
  <c r="J37" i="13" s="1"/>
  <c r="D37" i="13"/>
  <c r="F37" i="13" s="1"/>
  <c r="G37" i="13" s="1"/>
  <c r="H37" i="13"/>
  <c r="K37" i="13" s="1"/>
  <c r="I37" i="13"/>
  <c r="L37" i="13" s="1"/>
  <c r="C38" i="13"/>
  <c r="J38" i="13" s="1"/>
  <c r="D38" i="13"/>
  <c r="F38" i="13"/>
  <c r="G38" i="13"/>
  <c r="H38" i="13"/>
  <c r="I38" i="13" s="1"/>
  <c r="L38" i="13" s="1"/>
  <c r="C39" i="13"/>
  <c r="D39" i="13"/>
  <c r="F39" i="13"/>
  <c r="G39" i="13"/>
  <c r="H39" i="13" s="1"/>
  <c r="K39" i="13" s="1"/>
  <c r="J39" i="13"/>
  <c r="C40" i="13"/>
  <c r="D40" i="13"/>
  <c r="F40" i="13" s="1"/>
  <c r="G40" i="13" s="1"/>
  <c r="H40" i="13" s="1"/>
  <c r="J40" i="13"/>
  <c r="C41" i="13"/>
  <c r="J41" i="13" s="1"/>
  <c r="D41" i="13"/>
  <c r="F41" i="13" s="1"/>
  <c r="G41" i="13"/>
  <c r="H41" i="13"/>
  <c r="K41" i="13" s="1"/>
  <c r="C42" i="13"/>
  <c r="D42" i="13"/>
  <c r="F42" i="13"/>
  <c r="G42" i="13"/>
  <c r="H42" i="13"/>
  <c r="I42" i="13" s="1"/>
  <c r="L42" i="13" s="1"/>
  <c r="J42" i="13"/>
  <c r="C43" i="13"/>
  <c r="D43" i="13"/>
  <c r="F43" i="13"/>
  <c r="G43" i="13" s="1"/>
  <c r="H43" i="13" s="1"/>
  <c r="J43" i="13"/>
  <c r="C44" i="13"/>
  <c r="J44" i="13" s="1"/>
  <c r="M44" i="13" s="1"/>
  <c r="D44" i="13"/>
  <c r="F44" i="13"/>
  <c r="G44" i="13" s="1"/>
  <c r="H44" i="13"/>
  <c r="K44" i="13" s="1"/>
  <c r="I44" i="13"/>
  <c r="L44" i="13" s="1"/>
  <c r="C45" i="13"/>
  <c r="J45" i="13" s="1"/>
  <c r="D45" i="13"/>
  <c r="F45" i="13" s="1"/>
  <c r="G45" i="13"/>
  <c r="H45" i="13" s="1"/>
  <c r="C46" i="13"/>
  <c r="J46" i="13" s="1"/>
  <c r="D46" i="13"/>
  <c r="F46" i="13"/>
  <c r="G46" i="13"/>
  <c r="H46" i="13"/>
  <c r="I46" i="13" s="1"/>
  <c r="L46" i="13" s="1"/>
  <c r="F9" i="12"/>
  <c r="J31" i="12" s="1"/>
  <c r="C16" i="12"/>
  <c r="D16" i="12"/>
  <c r="F16" i="12" s="1"/>
  <c r="G16" i="12" s="1"/>
  <c r="H16" i="12" s="1"/>
  <c r="C17" i="12"/>
  <c r="D17" i="12"/>
  <c r="F17" i="12"/>
  <c r="G17" i="12"/>
  <c r="H17" i="12"/>
  <c r="I17" i="12" s="1"/>
  <c r="K17" i="12"/>
  <c r="L17" i="12"/>
  <c r="C18" i="12"/>
  <c r="D18" i="12"/>
  <c r="F18" i="12"/>
  <c r="G18" i="12"/>
  <c r="H18" i="12" s="1"/>
  <c r="I18" i="12" s="1"/>
  <c r="L18" i="12" s="1"/>
  <c r="K18" i="12"/>
  <c r="C19" i="12"/>
  <c r="D19" i="12"/>
  <c r="F19" i="12" s="1"/>
  <c r="G19" i="12" s="1"/>
  <c r="H19" i="12" s="1"/>
  <c r="C20" i="12"/>
  <c r="D20" i="12"/>
  <c r="F20" i="12" s="1"/>
  <c r="G20" i="12" s="1"/>
  <c r="H20" i="12"/>
  <c r="K20" i="12" s="1"/>
  <c r="C21" i="12"/>
  <c r="D21" i="12"/>
  <c r="F21" i="12"/>
  <c r="G21" i="12"/>
  <c r="H21" i="12" s="1"/>
  <c r="C22" i="12"/>
  <c r="D22" i="12"/>
  <c r="F22" i="12"/>
  <c r="G22" i="12" s="1"/>
  <c r="H22" i="12" s="1"/>
  <c r="C23" i="12"/>
  <c r="D23" i="12"/>
  <c r="F23" i="12"/>
  <c r="G23" i="12" s="1"/>
  <c r="H23" i="12" s="1"/>
  <c r="K23" i="12" s="1"/>
  <c r="C24" i="12"/>
  <c r="D24" i="12"/>
  <c r="F24" i="12" s="1"/>
  <c r="G24" i="12" s="1"/>
  <c r="H24" i="12"/>
  <c r="K24" i="12" s="1"/>
  <c r="I24" i="12"/>
  <c r="L24" i="12" s="1"/>
  <c r="C25" i="12"/>
  <c r="D25" i="12"/>
  <c r="F25" i="12"/>
  <c r="G25" i="12"/>
  <c r="H25" i="12"/>
  <c r="I25" i="12" s="1"/>
  <c r="L25" i="12" s="1"/>
  <c r="C26" i="12"/>
  <c r="D26" i="12"/>
  <c r="F26" i="12"/>
  <c r="G26" i="12" s="1"/>
  <c r="H26" i="12" s="1"/>
  <c r="C27" i="12"/>
  <c r="D27" i="12"/>
  <c r="F27" i="12"/>
  <c r="G27" i="12" s="1"/>
  <c r="H27" i="12"/>
  <c r="K27" i="12" s="1"/>
  <c r="I27" i="12"/>
  <c r="L27" i="12" s="1"/>
  <c r="C28" i="12"/>
  <c r="J28" i="12" s="1"/>
  <c r="D28" i="12"/>
  <c r="F28" i="12" s="1"/>
  <c r="G28" i="12"/>
  <c r="H28" i="12" s="1"/>
  <c r="C29" i="12"/>
  <c r="D29" i="12"/>
  <c r="F29" i="12"/>
  <c r="G29" i="12"/>
  <c r="H29" i="12"/>
  <c r="I29" i="12" s="1"/>
  <c r="L29" i="12" s="1"/>
  <c r="C30" i="12"/>
  <c r="D30" i="12"/>
  <c r="F30" i="12" s="1"/>
  <c r="G30" i="12" s="1"/>
  <c r="H30" i="12" s="1"/>
  <c r="C31" i="12"/>
  <c r="D31" i="12"/>
  <c r="F31" i="12"/>
  <c r="G31" i="12" s="1"/>
  <c r="H31" i="12"/>
  <c r="K31" i="12" s="1"/>
  <c r="C32" i="12"/>
  <c r="J32" i="12" s="1"/>
  <c r="D32" i="12"/>
  <c r="F32" i="12" s="1"/>
  <c r="G32" i="12" s="1"/>
  <c r="H32" i="12" s="1"/>
  <c r="C33" i="12"/>
  <c r="D33" i="12"/>
  <c r="F33" i="12"/>
  <c r="G33" i="12"/>
  <c r="H33" i="12" s="1"/>
  <c r="C34" i="12"/>
  <c r="D34" i="12"/>
  <c r="F34" i="12"/>
  <c r="G34" i="12"/>
  <c r="H34" i="12" s="1"/>
  <c r="K34" i="12" s="1"/>
  <c r="I34" i="12"/>
  <c r="L34" i="12" s="1"/>
  <c r="J34" i="12"/>
  <c r="C35" i="12"/>
  <c r="D35" i="12"/>
  <c r="F35" i="12"/>
  <c r="G35" i="12" s="1"/>
  <c r="H35" i="12" s="1"/>
  <c r="J35" i="12"/>
  <c r="C36" i="12"/>
  <c r="D36" i="12"/>
  <c r="F36" i="12" s="1"/>
  <c r="G36" i="12"/>
  <c r="H36" i="12"/>
  <c r="K36" i="12" s="1"/>
  <c r="I36" i="12"/>
  <c r="L36" i="12" s="1"/>
  <c r="C37" i="12"/>
  <c r="D37" i="12"/>
  <c r="F37" i="12"/>
  <c r="G37" i="12" s="1"/>
  <c r="H37" i="12" s="1"/>
  <c r="D98" i="20" l="1"/>
  <c r="D105" i="20" s="1"/>
  <c r="D106" i="20" s="1"/>
  <c r="D137" i="20" s="1"/>
  <c r="D135" i="20"/>
  <c r="J24" i="14"/>
  <c r="J31" i="14"/>
  <c r="J39" i="14"/>
  <c r="J20" i="14"/>
  <c r="J21" i="14"/>
  <c r="J28" i="14"/>
  <c r="M28" i="14" s="1"/>
  <c r="J43" i="14"/>
  <c r="J36" i="14"/>
  <c r="J37" i="14"/>
  <c r="J25" i="14"/>
  <c r="J27" i="14"/>
  <c r="M27" i="14" s="1"/>
  <c r="J29" i="14"/>
  <c r="J40" i="14"/>
  <c r="J41" i="14"/>
  <c r="M41" i="14" s="1"/>
  <c r="J32" i="14"/>
  <c r="M32" i="14" s="1"/>
  <c r="J44" i="14"/>
  <c r="M40" i="14"/>
  <c r="O40" i="14" s="1"/>
  <c r="Q40" i="14" s="1"/>
  <c r="J27" i="12"/>
  <c r="J33" i="12"/>
  <c r="J30" i="12"/>
  <c r="J26" i="12"/>
  <c r="J25" i="12"/>
  <c r="J24" i="12"/>
  <c r="M24" i="12" s="1"/>
  <c r="J19" i="12"/>
  <c r="J18" i="12"/>
  <c r="J38" i="14"/>
  <c r="M40" i="15"/>
  <c r="J37" i="12"/>
  <c r="J36" i="12"/>
  <c r="J23" i="12"/>
  <c r="J22" i="12"/>
  <c r="J16" i="12"/>
  <c r="J35" i="14"/>
  <c r="J33" i="14"/>
  <c r="J26" i="15"/>
  <c r="J37" i="16"/>
  <c r="J34" i="16"/>
  <c r="J32" i="16"/>
  <c r="J21" i="16"/>
  <c r="M21" i="16" s="1"/>
  <c r="J19" i="16"/>
  <c r="J19" i="14"/>
  <c r="J20" i="12"/>
  <c r="J42" i="14"/>
  <c r="J30" i="14"/>
  <c r="J26" i="14"/>
  <c r="J23" i="14"/>
  <c r="J22" i="14"/>
  <c r="M22" i="14" s="1"/>
  <c r="O22" i="14" s="1"/>
  <c r="Q22" i="14" s="1"/>
  <c r="J29" i="12"/>
  <c r="J17" i="12"/>
  <c r="M34" i="12"/>
  <c r="O34" i="12" s="1"/>
  <c r="Q34" i="12" s="1"/>
  <c r="J21" i="12"/>
  <c r="J34" i="14"/>
  <c r="J18" i="14"/>
  <c r="M38" i="15"/>
  <c r="J31" i="16"/>
  <c r="J26" i="16"/>
  <c r="K36" i="16"/>
  <c r="M36" i="16" s="1"/>
  <c r="I36" i="16"/>
  <c r="L36" i="16" s="1"/>
  <c r="I30" i="16"/>
  <c r="L30" i="16" s="1"/>
  <c r="K30" i="16"/>
  <c r="M30" i="16" s="1"/>
  <c r="I37" i="16"/>
  <c r="L37" i="16" s="1"/>
  <c r="K37" i="16"/>
  <c r="M37" i="16" s="1"/>
  <c r="I32" i="16"/>
  <c r="L32" i="16" s="1"/>
  <c r="K32" i="16"/>
  <c r="K22" i="16"/>
  <c r="I22" i="16"/>
  <c r="L22" i="16" s="1"/>
  <c r="M22" i="16" s="1"/>
  <c r="K19" i="16"/>
  <c r="M19" i="16" s="1"/>
  <c r="I19" i="16"/>
  <c r="L19" i="16" s="1"/>
  <c r="I33" i="16"/>
  <c r="L33" i="16" s="1"/>
  <c r="K33" i="16"/>
  <c r="K28" i="16"/>
  <c r="M28" i="16" s="1"/>
  <c r="I28" i="16"/>
  <c r="L28" i="16" s="1"/>
  <c r="K27" i="16"/>
  <c r="M27" i="16" s="1"/>
  <c r="I27" i="16"/>
  <c r="L27" i="16" s="1"/>
  <c r="K26" i="16"/>
  <c r="M26" i="16" s="1"/>
  <c r="I26" i="16"/>
  <c r="L26" i="16" s="1"/>
  <c r="K23" i="16"/>
  <c r="M23" i="16" s="1"/>
  <c r="I23" i="16"/>
  <c r="L23" i="16" s="1"/>
  <c r="K20" i="16"/>
  <c r="I20" i="16"/>
  <c r="L20" i="16" s="1"/>
  <c r="K35" i="16"/>
  <c r="I35" i="16"/>
  <c r="L35" i="16" s="1"/>
  <c r="M35" i="16" s="1"/>
  <c r="K34" i="16"/>
  <c r="M34" i="16" s="1"/>
  <c r="I34" i="16"/>
  <c r="L34" i="16" s="1"/>
  <c r="I29" i="16"/>
  <c r="L29" i="16" s="1"/>
  <c r="K29" i="16"/>
  <c r="M29" i="16" s="1"/>
  <c r="I24" i="16"/>
  <c r="L24" i="16" s="1"/>
  <c r="K24" i="16"/>
  <c r="M24" i="16" s="1"/>
  <c r="I21" i="16"/>
  <c r="L21" i="16" s="1"/>
  <c r="K21" i="16"/>
  <c r="K31" i="16"/>
  <c r="M31" i="16" s="1"/>
  <c r="I31" i="16"/>
  <c r="L31" i="16" s="1"/>
  <c r="I25" i="16"/>
  <c r="L25" i="16" s="1"/>
  <c r="M25" i="16" s="1"/>
  <c r="K25" i="16"/>
  <c r="K18" i="16"/>
  <c r="M18" i="16" s="1"/>
  <c r="I18" i="16"/>
  <c r="L18" i="16" s="1"/>
  <c r="O34" i="15"/>
  <c r="Q34" i="15" s="1"/>
  <c r="O38" i="15"/>
  <c r="Q38" i="15" s="1"/>
  <c r="I37" i="15"/>
  <c r="L37" i="15" s="1"/>
  <c r="K37" i="15"/>
  <c r="K31" i="15"/>
  <c r="I31" i="15"/>
  <c r="L31" i="15" s="1"/>
  <c r="K35" i="15"/>
  <c r="I35" i="15"/>
  <c r="L35" i="15" s="1"/>
  <c r="M35" i="15" s="1"/>
  <c r="M29" i="15"/>
  <c r="K36" i="15"/>
  <c r="M36" i="15" s="1"/>
  <c r="M33" i="15"/>
  <c r="M31" i="15"/>
  <c r="I29" i="15"/>
  <c r="L29" i="15" s="1"/>
  <c r="K29" i="15"/>
  <c r="I26" i="15"/>
  <c r="L26" i="15" s="1"/>
  <c r="K26" i="15"/>
  <c r="K23" i="15"/>
  <c r="M23" i="15" s="1"/>
  <c r="I23" i="15"/>
  <c r="L23" i="15" s="1"/>
  <c r="K20" i="15"/>
  <c r="I20" i="15"/>
  <c r="L20" i="15" s="1"/>
  <c r="M20" i="15"/>
  <c r="M37" i="15"/>
  <c r="I33" i="15"/>
  <c r="L33" i="15" s="1"/>
  <c r="K33" i="15"/>
  <c r="K32" i="15"/>
  <c r="I30" i="15"/>
  <c r="L30" i="15" s="1"/>
  <c r="M30" i="15" s="1"/>
  <c r="K30" i="15"/>
  <c r="K27" i="15"/>
  <c r="I27" i="15"/>
  <c r="L27" i="15" s="1"/>
  <c r="M26" i="15"/>
  <c r="I24" i="15"/>
  <c r="L24" i="15" s="1"/>
  <c r="K24" i="15"/>
  <c r="I21" i="15"/>
  <c r="L21" i="15" s="1"/>
  <c r="K21" i="15"/>
  <c r="M21" i="15" s="1"/>
  <c r="I25" i="15"/>
  <c r="L25" i="15" s="1"/>
  <c r="K25" i="15"/>
  <c r="M25" i="15" s="1"/>
  <c r="I18" i="15"/>
  <c r="L18" i="15" s="1"/>
  <c r="K18" i="15"/>
  <c r="M18" i="15" s="1"/>
  <c r="K39" i="15"/>
  <c r="M39" i="15" s="1"/>
  <c r="I39" i="15"/>
  <c r="L39" i="15" s="1"/>
  <c r="I28" i="15"/>
  <c r="L28" i="15" s="1"/>
  <c r="K28" i="15"/>
  <c r="M27" i="15"/>
  <c r="K22" i="15"/>
  <c r="M22" i="15" s="1"/>
  <c r="I22" i="15"/>
  <c r="L22" i="15" s="1"/>
  <c r="K19" i="15"/>
  <c r="I19" i="15"/>
  <c r="L19" i="15" s="1"/>
  <c r="M19" i="15" s="1"/>
  <c r="J32" i="15"/>
  <c r="J28" i="15"/>
  <c r="M28" i="15" s="1"/>
  <c r="J24" i="15"/>
  <c r="M24" i="15" s="1"/>
  <c r="I39" i="14"/>
  <c r="L39" i="14" s="1"/>
  <c r="K39" i="14"/>
  <c r="K36" i="14"/>
  <c r="I36" i="14"/>
  <c r="L36" i="14" s="1"/>
  <c r="M36" i="14" s="1"/>
  <c r="I32" i="14"/>
  <c r="L32" i="14" s="1"/>
  <c r="K32" i="14"/>
  <c r="I43" i="14"/>
  <c r="L43" i="14" s="1"/>
  <c r="K43" i="14"/>
  <c r="M43" i="14" s="1"/>
  <c r="M18" i="14"/>
  <c r="K41" i="14"/>
  <c r="I41" i="14"/>
  <c r="L41" i="14" s="1"/>
  <c r="M35" i="14"/>
  <c r="M33" i="14"/>
  <c r="K29" i="14"/>
  <c r="I29" i="14"/>
  <c r="L29" i="14" s="1"/>
  <c r="M29" i="14" s="1"/>
  <c r="I27" i="14"/>
  <c r="L27" i="14" s="1"/>
  <c r="K27" i="14"/>
  <c r="M26" i="14"/>
  <c r="M37" i="14"/>
  <c r="I34" i="14"/>
  <c r="L34" i="14" s="1"/>
  <c r="K34" i="14"/>
  <c r="M34" i="14" s="1"/>
  <c r="M42" i="14"/>
  <c r="K38" i="14"/>
  <c r="I38" i="14"/>
  <c r="L38" i="14" s="1"/>
  <c r="K30" i="14"/>
  <c r="M30" i="14" s="1"/>
  <c r="I25" i="14"/>
  <c r="L25" i="14" s="1"/>
  <c r="M25" i="14" s="1"/>
  <c r="K25" i="14"/>
  <c r="K24" i="14"/>
  <c r="M24" i="14" s="1"/>
  <c r="K19" i="14"/>
  <c r="I19" i="14"/>
  <c r="L19" i="14" s="1"/>
  <c r="I44" i="14"/>
  <c r="L44" i="14" s="1"/>
  <c r="M44" i="14" s="1"/>
  <c r="I37" i="14"/>
  <c r="L37" i="14" s="1"/>
  <c r="K31" i="14"/>
  <c r="M31" i="14" s="1"/>
  <c r="I28" i="14"/>
  <c r="L28" i="14" s="1"/>
  <c r="I21" i="14"/>
  <c r="L21" i="14" s="1"/>
  <c r="K21" i="14"/>
  <c r="M21" i="14" s="1"/>
  <c r="K20" i="14"/>
  <c r="M20" i="14" s="1"/>
  <c r="I18" i="14"/>
  <c r="L18" i="14" s="1"/>
  <c r="K23" i="14"/>
  <c r="I23" i="14"/>
  <c r="L23" i="14" s="1"/>
  <c r="M23" i="14" s="1"/>
  <c r="M19" i="14"/>
  <c r="K35" i="14"/>
  <c r="O44" i="13"/>
  <c r="Q44" i="13" s="1"/>
  <c r="K40" i="13"/>
  <c r="M40" i="13" s="1"/>
  <c r="I40" i="13"/>
  <c r="L40" i="13" s="1"/>
  <c r="K32" i="13"/>
  <c r="I32" i="13"/>
  <c r="L32" i="13" s="1"/>
  <c r="K45" i="13"/>
  <c r="I45" i="13"/>
  <c r="L45" i="13" s="1"/>
  <c r="M37" i="13"/>
  <c r="I35" i="13"/>
  <c r="L35" i="13" s="1"/>
  <c r="K35" i="13"/>
  <c r="M35" i="13" s="1"/>
  <c r="O28" i="13"/>
  <c r="Q28" i="13" s="1"/>
  <c r="I43" i="13"/>
  <c r="L43" i="13" s="1"/>
  <c r="K43" i="13"/>
  <c r="M43" i="13" s="1"/>
  <c r="M45" i="13"/>
  <c r="K29" i="13"/>
  <c r="M29" i="13" s="1"/>
  <c r="I29" i="13"/>
  <c r="L29" i="13" s="1"/>
  <c r="M46" i="13"/>
  <c r="I34" i="13"/>
  <c r="L34" i="13" s="1"/>
  <c r="K34" i="13"/>
  <c r="M34" i="13" s="1"/>
  <c r="M31" i="13"/>
  <c r="M26" i="13"/>
  <c r="I24" i="13"/>
  <c r="L24" i="13" s="1"/>
  <c r="K24" i="13"/>
  <c r="M24" i="13" s="1"/>
  <c r="K46" i="13"/>
  <c r="M22" i="13"/>
  <c r="K42" i="13"/>
  <c r="I41" i="13"/>
  <c r="L41" i="13" s="1"/>
  <c r="M41" i="13" s="1"/>
  <c r="I39" i="13"/>
  <c r="L39" i="13" s="1"/>
  <c r="M39" i="13" s="1"/>
  <c r="K38" i="13"/>
  <c r="M38" i="13" s="1"/>
  <c r="I36" i="13"/>
  <c r="L36" i="13" s="1"/>
  <c r="M36" i="13" s="1"/>
  <c r="I33" i="13"/>
  <c r="L33" i="13" s="1"/>
  <c r="M33" i="13" s="1"/>
  <c r="K27" i="13"/>
  <c r="M27" i="13" s="1"/>
  <c r="K22" i="13"/>
  <c r="I22" i="13"/>
  <c r="L22" i="13" s="1"/>
  <c r="K21" i="13"/>
  <c r="I21" i="13"/>
  <c r="L21" i="13" s="1"/>
  <c r="K25" i="13"/>
  <c r="M25" i="13" s="1"/>
  <c r="I25" i="13"/>
  <c r="L25" i="13" s="1"/>
  <c r="I23" i="13"/>
  <c r="L23" i="13" s="1"/>
  <c r="K23" i="13"/>
  <c r="M23" i="13" s="1"/>
  <c r="M21" i="13"/>
  <c r="K18" i="13"/>
  <c r="M18" i="13" s="1"/>
  <c r="I18" i="13"/>
  <c r="L18" i="13" s="1"/>
  <c r="K17" i="13"/>
  <c r="M17" i="13" s="1"/>
  <c r="I17" i="13"/>
  <c r="L17" i="13" s="1"/>
  <c r="I19" i="13"/>
  <c r="L19" i="13" s="1"/>
  <c r="K19" i="13"/>
  <c r="M19" i="13" s="1"/>
  <c r="M42" i="13"/>
  <c r="M30" i="13"/>
  <c r="I20" i="13"/>
  <c r="L20" i="13" s="1"/>
  <c r="K20" i="13"/>
  <c r="M31" i="12"/>
  <c r="I28" i="12"/>
  <c r="L28" i="12" s="1"/>
  <c r="K28" i="12"/>
  <c r="M28" i="12" s="1"/>
  <c r="M26" i="12"/>
  <c r="K16" i="12"/>
  <c r="I16" i="12"/>
  <c r="L16" i="12" s="1"/>
  <c r="M36" i="12"/>
  <c r="I33" i="12"/>
  <c r="L33" i="12" s="1"/>
  <c r="K33" i="12"/>
  <c r="I32" i="12"/>
  <c r="L32" i="12" s="1"/>
  <c r="K32" i="12"/>
  <c r="I30" i="12"/>
  <c r="L30" i="12" s="1"/>
  <c r="K30" i="12"/>
  <c r="M30" i="12" s="1"/>
  <c r="I26" i="12"/>
  <c r="L26" i="12" s="1"/>
  <c r="K26" i="12"/>
  <c r="I21" i="12"/>
  <c r="L21" i="12" s="1"/>
  <c r="K21" i="12"/>
  <c r="K19" i="12"/>
  <c r="I19" i="12"/>
  <c r="L19" i="12" s="1"/>
  <c r="I37" i="12"/>
  <c r="L37" i="12" s="1"/>
  <c r="K37" i="12"/>
  <c r="M32" i="12"/>
  <c r="M23" i="12"/>
  <c r="I22" i="12"/>
  <c r="L22" i="12" s="1"/>
  <c r="M22" i="12" s="1"/>
  <c r="K22" i="12"/>
  <c r="K35" i="12"/>
  <c r="I35" i="12"/>
  <c r="L35" i="12" s="1"/>
  <c r="M35" i="12" s="1"/>
  <c r="M27" i="12"/>
  <c r="M37" i="12"/>
  <c r="K29" i="12"/>
  <c r="M29" i="12" s="1"/>
  <c r="M17" i="12"/>
  <c r="I31" i="12"/>
  <c r="L31" i="12" s="1"/>
  <c r="K25" i="12"/>
  <c r="I23" i="12"/>
  <c r="L23" i="12" s="1"/>
  <c r="I20" i="12"/>
  <c r="L20" i="12" s="1"/>
  <c r="M20" i="12" s="1"/>
  <c r="M25" i="12"/>
  <c r="M18" i="12"/>
  <c r="D139" i="20" l="1"/>
  <c r="D122" i="20" s="1"/>
  <c r="D123" i="20" s="1"/>
  <c r="D124" i="20" s="1"/>
  <c r="M33" i="12"/>
  <c r="M39" i="14"/>
  <c r="O40" i="15"/>
  <c r="Q40" i="15" s="1"/>
  <c r="M38" i="14"/>
  <c r="M32" i="16"/>
  <c r="O32" i="16" s="1"/>
  <c r="Q32" i="16" s="1"/>
  <c r="M21" i="12"/>
  <c r="O18" i="16"/>
  <c r="Q18" i="16" s="1"/>
  <c r="O31" i="16"/>
  <c r="Q31" i="16" s="1"/>
  <c r="O34" i="16"/>
  <c r="Q34" i="16" s="1"/>
  <c r="O26" i="16"/>
  <c r="Q26" i="16" s="1"/>
  <c r="O28" i="16"/>
  <c r="Q28" i="16" s="1"/>
  <c r="O19" i="16"/>
  <c r="Q19" i="16" s="1"/>
  <c r="O35" i="16"/>
  <c r="Q35" i="16" s="1"/>
  <c r="O22" i="16"/>
  <c r="Q22" i="16" s="1"/>
  <c r="O25" i="16"/>
  <c r="Q25" i="16" s="1"/>
  <c r="O23" i="16"/>
  <c r="Q23" i="16" s="1"/>
  <c r="O27" i="16"/>
  <c r="Q27" i="16" s="1"/>
  <c r="O36" i="16"/>
  <c r="Q36" i="16" s="1"/>
  <c r="O30" i="16"/>
  <c r="Q30" i="16" s="1"/>
  <c r="M20" i="16"/>
  <c r="M33" i="16"/>
  <c r="O21" i="16"/>
  <c r="Q21" i="16" s="1"/>
  <c r="O29" i="16"/>
  <c r="Q29" i="16" s="1"/>
  <c r="O24" i="16"/>
  <c r="Q24" i="16" s="1"/>
  <c r="O37" i="16"/>
  <c r="Q37" i="16" s="1"/>
  <c r="O19" i="15"/>
  <c r="Q19" i="15" s="1"/>
  <c r="O39" i="15"/>
  <c r="Q39" i="15" s="1"/>
  <c r="O18" i="15"/>
  <c r="Q18" i="15" s="1"/>
  <c r="O21" i="15"/>
  <c r="Q21" i="15" s="1"/>
  <c r="O30" i="15"/>
  <c r="Q30" i="15" s="1"/>
  <c r="O23" i="15"/>
  <c r="Q23" i="15" s="1"/>
  <c r="O22" i="15"/>
  <c r="Q22" i="15" s="1"/>
  <c r="O25" i="15"/>
  <c r="Q25" i="15" s="1"/>
  <c r="O35" i="15"/>
  <c r="Q35" i="15" s="1"/>
  <c r="O24" i="15"/>
  <c r="Q24" i="15" s="1"/>
  <c r="O26" i="15"/>
  <c r="Q26" i="15" s="1"/>
  <c r="O37" i="15"/>
  <c r="Q37" i="15" s="1"/>
  <c r="O31" i="15"/>
  <c r="Q31" i="15" s="1"/>
  <c r="O29" i="15"/>
  <c r="Q29" i="15" s="1"/>
  <c r="O28" i="15"/>
  <c r="Q28" i="15" s="1"/>
  <c r="O27" i="15"/>
  <c r="Q27" i="15" s="1"/>
  <c r="O20" i="15"/>
  <c r="Q20" i="15" s="1"/>
  <c r="O33" i="15"/>
  <c r="Q33" i="15" s="1"/>
  <c r="M32" i="15"/>
  <c r="O36" i="15"/>
  <c r="Q36" i="15" s="1"/>
  <c r="O23" i="14"/>
  <c r="Q23" i="14" s="1"/>
  <c r="O31" i="14"/>
  <c r="Q31" i="14" s="1"/>
  <c r="O21" i="14"/>
  <c r="Q21" i="14" s="1"/>
  <c r="O39" i="14"/>
  <c r="Q39" i="14" s="1"/>
  <c r="O44" i="14"/>
  <c r="Q44" i="14" s="1"/>
  <c r="O38" i="14"/>
  <c r="Q38" i="14" s="1"/>
  <c r="O34" i="14"/>
  <c r="Q34" i="14" s="1"/>
  <c r="O29" i="14"/>
  <c r="Q29" i="14" s="1"/>
  <c r="O25" i="14"/>
  <c r="Q25" i="14" s="1"/>
  <c r="O43" i="14"/>
  <c r="Q43" i="14" s="1"/>
  <c r="O36" i="14"/>
  <c r="Q36" i="14" s="1"/>
  <c r="O19" i="14"/>
  <c r="Q19" i="14" s="1"/>
  <c r="O27" i="14"/>
  <c r="Q27" i="14" s="1"/>
  <c r="O20" i="14"/>
  <c r="Q20" i="14" s="1"/>
  <c r="O32" i="14"/>
  <c r="Q32" i="14" s="1"/>
  <c r="O37" i="14"/>
  <c r="Q37" i="14" s="1"/>
  <c r="O33" i="14"/>
  <c r="Q33" i="14" s="1"/>
  <c r="O18" i="14"/>
  <c r="Q18" i="14" s="1"/>
  <c r="O30" i="14"/>
  <c r="Q30" i="14" s="1"/>
  <c r="O42" i="14"/>
  <c r="Q42" i="14" s="1"/>
  <c r="O35" i="14"/>
  <c r="Q35" i="14" s="1"/>
  <c r="O28" i="14"/>
  <c r="Q28" i="14" s="1"/>
  <c r="O41" i="14"/>
  <c r="Q41" i="14" s="1"/>
  <c r="O24" i="14"/>
  <c r="Q24" i="14" s="1"/>
  <c r="O26" i="14"/>
  <c r="Q26" i="14" s="1"/>
  <c r="O18" i="13"/>
  <c r="Q18" i="13" s="1"/>
  <c r="O36" i="13"/>
  <c r="Q36" i="13" s="1"/>
  <c r="O25" i="13"/>
  <c r="Q25" i="13" s="1"/>
  <c r="O38" i="13"/>
  <c r="Q38" i="13" s="1"/>
  <c r="O43" i="13"/>
  <c r="Q43" i="13" s="1"/>
  <c r="O35" i="13"/>
  <c r="Q35" i="13" s="1"/>
  <c r="O40" i="13"/>
  <c r="Q40" i="13" s="1"/>
  <c r="O17" i="13"/>
  <c r="Q17" i="13" s="1"/>
  <c r="O23" i="13"/>
  <c r="Q23" i="13" s="1"/>
  <c r="O27" i="13"/>
  <c r="Q27" i="13" s="1"/>
  <c r="O39" i="13"/>
  <c r="Q39" i="13" s="1"/>
  <c r="O19" i="13"/>
  <c r="Q19" i="13" s="1"/>
  <c r="O33" i="13"/>
  <c r="Q33" i="13" s="1"/>
  <c r="O41" i="13"/>
  <c r="Q41" i="13" s="1"/>
  <c r="O34" i="13"/>
  <c r="Q34" i="13" s="1"/>
  <c r="O21" i="13"/>
  <c r="Q21" i="13" s="1"/>
  <c r="O22" i="13"/>
  <c r="Q22" i="13" s="1"/>
  <c r="O24" i="13"/>
  <c r="Q24" i="13" s="1"/>
  <c r="O45" i="13"/>
  <c r="Q45" i="13" s="1"/>
  <c r="O37" i="13"/>
  <c r="Q37" i="13" s="1"/>
  <c r="O30" i="13"/>
  <c r="Q30" i="13" s="1"/>
  <c r="M32" i="13"/>
  <c r="O42" i="13"/>
  <c r="Q42" i="13" s="1"/>
  <c r="O26" i="13"/>
  <c r="Q26" i="13" s="1"/>
  <c r="O46" i="13"/>
  <c r="Q46" i="13" s="1"/>
  <c r="M20" i="13"/>
  <c r="O31" i="13"/>
  <c r="Q31" i="13" s="1"/>
  <c r="O29" i="13"/>
  <c r="Q29" i="13" s="1"/>
  <c r="O22" i="12"/>
  <c r="Q22" i="12" s="1"/>
  <c r="O30" i="12"/>
  <c r="Q30" i="12" s="1"/>
  <c r="O20" i="12"/>
  <c r="Q20" i="12" s="1"/>
  <c r="O35" i="12"/>
  <c r="Q35" i="12" s="1"/>
  <c r="O21" i="12"/>
  <c r="Q21" i="12" s="1"/>
  <c r="O33" i="12"/>
  <c r="Q33" i="12" s="1"/>
  <c r="O29" i="12"/>
  <c r="Q29" i="12" s="1"/>
  <c r="O28" i="12"/>
  <c r="Q28" i="12" s="1"/>
  <c r="O25" i="12"/>
  <c r="Q25" i="12" s="1"/>
  <c r="O32" i="12"/>
  <c r="Q32" i="12" s="1"/>
  <c r="O26" i="12"/>
  <c r="Q26" i="12" s="1"/>
  <c r="O31" i="12"/>
  <c r="Q31" i="12" s="1"/>
  <c r="O23" i="12"/>
  <c r="Q23" i="12" s="1"/>
  <c r="M19" i="12"/>
  <c r="O36" i="12"/>
  <c r="Q36" i="12" s="1"/>
  <c r="O17" i="12"/>
  <c r="Q17" i="12" s="1"/>
  <c r="O37" i="12"/>
  <c r="Q37" i="12" s="1"/>
  <c r="O24" i="12"/>
  <c r="Q24" i="12" s="1"/>
  <c r="O18" i="12"/>
  <c r="Q18" i="12" s="1"/>
  <c r="O27" i="12"/>
  <c r="Q27" i="12" s="1"/>
  <c r="M16" i="12"/>
  <c r="D128" i="20" l="1"/>
  <c r="D140" i="20" s="1"/>
  <c r="D141" i="20" s="1"/>
  <c r="C2" i="8" s="1"/>
  <c r="E2" i="8" s="1"/>
  <c r="O33" i="16"/>
  <c r="Q33" i="16" s="1"/>
  <c r="O20" i="16"/>
  <c r="Q20" i="16" s="1"/>
  <c r="Q38" i="16" s="1"/>
  <c r="Q39" i="16" s="1"/>
  <c r="B9" i="17" s="1"/>
  <c r="O32" i="15"/>
  <c r="Q32" i="15" s="1"/>
  <c r="Q41" i="15" s="1"/>
  <c r="Q42" i="15" s="1"/>
  <c r="B8" i="17" s="1"/>
  <c r="Q45" i="14"/>
  <c r="Q46" i="14" s="1"/>
  <c r="B7" i="17" s="1"/>
  <c r="O32" i="13"/>
  <c r="Q32" i="13" s="1"/>
  <c r="O20" i="13"/>
  <c r="Q20" i="13" s="1"/>
  <c r="O19" i="12"/>
  <c r="Q19" i="12" s="1"/>
  <c r="O16" i="12"/>
  <c r="Q16" i="12" s="1"/>
  <c r="Q38" i="12" s="1"/>
  <c r="Q39" i="12" s="1"/>
  <c r="B5" i="17" s="1"/>
  <c r="D127" i="20" l="1"/>
  <c r="D126" i="20"/>
  <c r="D125" i="20"/>
  <c r="Q47" i="13"/>
  <c r="Q48" i="13" s="1"/>
  <c r="B6" i="17" s="1"/>
  <c r="B10" i="17" s="1"/>
  <c r="B11" i="17" s="1"/>
  <c r="C5" i="18" l="1"/>
  <c r="C6" i="18"/>
  <c r="C7" i="18"/>
  <c r="C4" i="18"/>
  <c r="C5" i="8"/>
  <c r="F5" i="8" s="1"/>
  <c r="F12" i="10" l="1"/>
  <c r="F13" i="10"/>
  <c r="H6" i="11" l="1"/>
  <c r="H7" i="11" s="1"/>
  <c r="G6" i="11"/>
  <c r="G7" i="11" s="1"/>
  <c r="G8" i="11" l="1"/>
  <c r="G9" i="11" s="1"/>
  <c r="F6" i="8" s="1"/>
  <c r="E7" i="8" l="1"/>
  <c r="F2" i="8" l="1"/>
  <c r="F7" i="8" s="1"/>
</calcChain>
</file>

<file path=xl/sharedStrings.xml><?xml version="1.0" encoding="utf-8"?>
<sst xmlns="http://schemas.openxmlformats.org/spreadsheetml/2006/main" count="469" uniqueCount="221">
  <si>
    <t>DESCRIÇÃO</t>
  </si>
  <si>
    <t>Uniformes</t>
  </si>
  <si>
    <t>Equipamentos de Proteção Individual</t>
  </si>
  <si>
    <t>INSS</t>
  </si>
  <si>
    <t>INCRA</t>
  </si>
  <si>
    <t>FGTS</t>
  </si>
  <si>
    <t>SEBRAE</t>
  </si>
  <si>
    <t>EQUIPAMENTOS DE PROTEÇÃO INDIVIDUAL</t>
  </si>
  <si>
    <t>Nº ITEM</t>
  </si>
  <si>
    <t>UNID.</t>
  </si>
  <si>
    <t>QTDE POR EMPREGADO</t>
  </si>
  <si>
    <t>CÓDIGO SINAPI</t>
  </si>
  <si>
    <t>VALOR</t>
  </si>
  <si>
    <t>LUVA RASPA DE COURO, CANO CURTO (PUNHO *7* CM)</t>
  </si>
  <si>
    <t>PAR</t>
  </si>
  <si>
    <t>CAPA PARA CHUVA EM PVC COM FORRO DE POLIESTER, COM CAPUZ (AMARELA OU AZUL)</t>
  </si>
  <si>
    <t>CAPACETE DE SEGURANCA ABA FRONTAL COM SUSPENSAO DE POLIETILENO, SEM JUGULAR (CLASSE B)</t>
  </si>
  <si>
    <t>PROTETOR AUDITIVO TIPO PLUG DE INSERCAO COM CORDAO, ATENUACAO SUPERIOR A 15 DB</t>
  </si>
  <si>
    <t>CINTURAO DE SEGURANCA TIPO PARAQUEDISTA, FIVELA EM ACO, AJUSTE NO SUSPENSARIO, CINTURA E PERNAS</t>
  </si>
  <si>
    <t>OCULOS DE SEGURANCA CONTRA IMPACTOS COM LENTE INCOLOR, ARMACAO NYLON, COM PROTECAO UVA E UVB</t>
  </si>
  <si>
    <t>VALOR TOTAL POR EMPREGADO</t>
  </si>
  <si>
    <r>
      <t> </t>
    </r>
    <r>
      <rPr>
        <b/>
        <sz val="10"/>
        <color rgb="FF000000"/>
        <rFont val="Times New Roman"/>
        <family val="1"/>
      </rPr>
      <t>TOTAL  MENSAL POR EMPREGADO</t>
    </r>
  </si>
  <si>
    <t>POSTO</t>
  </si>
  <si>
    <t>REMUNERAÇÃO</t>
  </si>
  <si>
    <t>QTD.</t>
  </si>
  <si>
    <t>VALOR UNTÁRIO</t>
  </si>
  <si>
    <t>VALOR TOTAL</t>
  </si>
  <si>
    <t>Dias úteis e sábados</t>
  </si>
  <si>
    <t>Domingos e feriados</t>
  </si>
  <si>
    <t>ENGENHEIRO/ARQUITETO</t>
  </si>
  <si>
    <t>TOTAL MENSAL</t>
  </si>
  <si>
    <t>TOTAL ANUAL</t>
  </si>
  <si>
    <t>VALOR UNITÁRIO</t>
  </si>
  <si>
    <t>VALOR MENSAL</t>
  </si>
  <si>
    <t xml:space="preserve">VALOR TOTAL </t>
  </si>
  <si>
    <t>VALOR TOTAL DO CONTRATO</t>
  </si>
  <si>
    <t>Emissão de ART/RRT</t>
  </si>
  <si>
    <t>R$</t>
  </si>
  <si>
    <t>unid</t>
  </si>
  <si>
    <t>n</t>
  </si>
  <si>
    <t>h</t>
  </si>
  <si>
    <t>litros (l)</t>
  </si>
  <si>
    <t>km</t>
  </si>
  <si>
    <t>VALOR DESLOCAMENTO/ DIA</t>
  </si>
  <si>
    <t>VALOR TOTAL COM IMPOSTOS</t>
  </si>
  <si>
    <t>VALOR TOTAL VIAGEM (VEÍCULO + COMBUSTÍVEL+DIÁRIAS)</t>
  </si>
  <si>
    <t>VALOR DE ALUGUEL DE VEÍCULO</t>
  </si>
  <si>
    <t>VALOR GASTO COM COMBUSTÍVEL</t>
  </si>
  <si>
    <t>NÚMERO DE DIÁRIAS DO PROFISSIONAL</t>
  </si>
  <si>
    <t>NÚMERO DE DIÁRIAS DE LOCAÇÃO DO VEÍCULO</t>
  </si>
  <si>
    <t>CALCULO APROXIMADO DO NÚMERO DE DIÁRIAS DE LOCAÇÃO DO VEÍCULO</t>
  </si>
  <si>
    <t>TOTAL DE HORAS ESTIMADAS PARA A VIAGEM</t>
  </si>
  <si>
    <t>MÉDIA DE TEMPO GASTO COM 01 VISITA TÉCNICA(h)</t>
  </si>
  <si>
    <t>CONSUMO DE COMBUSTÍVEL (10 km/ litro)</t>
  </si>
  <si>
    <t>MÉDIA DISTÂNCIA PERCORRIDA DENTRO DO MUNICÍPIO(km)</t>
  </si>
  <si>
    <t xml:space="preserve">DISTÂNCIA TOTAL PERCORRIDA (IDA E VOLTA) ATÉ (Km) _ </t>
  </si>
  <si>
    <t>Valor da diária (pernoite+alimentação)</t>
  </si>
  <si>
    <t>Consumo de combustível (Km/litro)</t>
  </si>
  <si>
    <t>Valor do litro da gasolina em R$</t>
  </si>
  <si>
    <t>20Km</t>
  </si>
  <si>
    <t xml:space="preserve">Distância percorrida dentro do município </t>
  </si>
  <si>
    <t>Valor da diária de locação de veículo em R$</t>
  </si>
  <si>
    <t>Média de horas para vistoria por imóvel</t>
  </si>
  <si>
    <t>Velocidade média da viagem em Km/hora</t>
  </si>
  <si>
    <t>PARÂMETROS</t>
  </si>
  <si>
    <t>VIAGEM PARA 01 MUNICÍPIO</t>
  </si>
  <si>
    <t>ESTIMATIVA DE VALOR DE DESLOCAMENTO PARA 01 PROFISSIONAL</t>
  </si>
  <si>
    <t>MÉDIA DE TEMPO GASTO COM 02 VISITAS TÉCNICAS(h)</t>
  </si>
  <si>
    <t>MÉDIA DISTÂNCIA PERCORRIDA DENTRO DOS MUNICÍPIOS(km)</t>
  </si>
  <si>
    <t>VIAGEM PARA 02 MUNICÍPIOS</t>
  </si>
  <si>
    <t>MÉDIA DE TEMPO GASTO COM 03 VISITAS TÉCNICAS(h)</t>
  </si>
  <si>
    <t xml:space="preserve">PARÂMETROS </t>
  </si>
  <si>
    <t>VIAGEM PARA 03 MUNICÍPIOS</t>
  </si>
  <si>
    <t>MÉDIA DE TEMPO GASTO COM 04 VISITAS TÉCNICAS(h)</t>
  </si>
  <si>
    <t>VIAGEM PARA 04 MUNICÍPIOS</t>
  </si>
  <si>
    <t>MÉDIA DE TEMPO GASTO COM 05 VISITAS TÉCNICAS(h)</t>
  </si>
  <si>
    <t>VIAGEM PARA 05 MUNICÍPIOS</t>
  </si>
  <si>
    <t>VALOR MÉDIO POR DIA DE DESLOCAMENTO</t>
  </si>
  <si>
    <t>PARA 05 MUNICÍPIOS</t>
  </si>
  <si>
    <t>PARA 04 MUNICÍPIOS</t>
  </si>
  <si>
    <t>PARA 03 MUNICÍPIOS</t>
  </si>
  <si>
    <t>PARA 02 MUNICÍPIOS</t>
  </si>
  <si>
    <t>PARA 01 MUNICÍPIO</t>
  </si>
  <si>
    <t>MÉDIA GERAL DE VALOR DE DESLOCAMENTO</t>
  </si>
  <si>
    <t>Estimativa total de deslocamentos para os 04 profissionais</t>
  </si>
  <si>
    <t>Estimativa total de deslocamentos por profissional</t>
  </si>
  <si>
    <t>Estimativa total de dias de deslocamento por mês (04 profissionais)</t>
  </si>
  <si>
    <t>Estimativa de dias de deslocamento por profissional por mês</t>
  </si>
  <si>
    <t>QTD</t>
  </si>
  <si>
    <t>VALOR MÉDIO</t>
  </si>
  <si>
    <t>Livramento de Nossa Senhora</t>
  </si>
  <si>
    <t>Ilhéus</t>
  </si>
  <si>
    <t>Porto Seguro</t>
  </si>
  <si>
    <t>Brumado</t>
  </si>
  <si>
    <t>Vitória da Conquista</t>
  </si>
  <si>
    <t>Caetité</t>
  </si>
  <si>
    <t>Juazeiro</t>
  </si>
  <si>
    <t>Itabuna</t>
  </si>
  <si>
    <t>Itamaraju</t>
  </si>
  <si>
    <t>Senhor do Bomfim</t>
  </si>
  <si>
    <t>Eunápolis</t>
  </si>
  <si>
    <t>Salvador</t>
  </si>
  <si>
    <t>Guanambi</t>
  </si>
  <si>
    <t>Valença</t>
  </si>
  <si>
    <t>Paulo Afonso</t>
  </si>
  <si>
    <t>Irecê</t>
  </si>
  <si>
    <t>Barreiras</t>
  </si>
  <si>
    <t>Ipirá</t>
  </si>
  <si>
    <t>Simões Filho</t>
  </si>
  <si>
    <t>Poções</t>
  </si>
  <si>
    <t>Jacobina</t>
  </si>
  <si>
    <t>Jaguaquara</t>
  </si>
  <si>
    <t>Jequié</t>
  </si>
  <si>
    <t>Santo Antônio de Jesus</t>
  </si>
  <si>
    <t>Camaçari</t>
  </si>
  <si>
    <t>Teixeira de Freitas</t>
  </si>
  <si>
    <t>Feira de Santana</t>
  </si>
  <si>
    <t>Serrinha</t>
  </si>
  <si>
    <t>Alagoinhas</t>
  </si>
  <si>
    <t>Valor médio</t>
  </si>
  <si>
    <t>Município</t>
  </si>
  <si>
    <t>VALOR MÉDIO DA GASOLINA COMUM</t>
  </si>
  <si>
    <t>BDI</t>
  </si>
  <si>
    <r>
      <t xml:space="preserve">ESTIMATIVA DE TEMPO GASTO COM DESLOCAMENTO - </t>
    </r>
    <r>
      <rPr>
        <u/>
        <sz val="8"/>
        <rFont val="Arial"/>
        <family val="2"/>
      </rPr>
      <t>80/Km/h</t>
    </r>
  </si>
  <si>
    <r>
      <t xml:space="preserve">VALOR DE DIÁRIAS </t>
    </r>
    <r>
      <rPr>
        <b/>
        <sz val="8"/>
        <color indexed="8"/>
        <rFont val="Arial"/>
        <family val="2"/>
      </rPr>
      <t>PARA 01 PROFISSIONAL</t>
    </r>
  </si>
  <si>
    <t>ITEM</t>
  </si>
  <si>
    <t>POSTOS DE TRABALHO</t>
  </si>
  <si>
    <t>CONSULTORIA (HORAS TÉCNICAS)</t>
  </si>
  <si>
    <t>SERVIÇOS EVENTUAIS (HORAS TÉCNICAS)</t>
  </si>
  <si>
    <t>DESLOCAMENTOS</t>
  </si>
  <si>
    <t>HORAS EXTRAS</t>
  </si>
  <si>
    <t>PLANILHA DE CUSTOS E FORMAÇÃO DE PREÇOS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</si>
  <si>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</si>
  <si>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</si>
  <si>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</si>
  <si>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</si>
  <si>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</si>
  <si>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</si>
  <si>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</si>
  <si>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</si>
  <si>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</si>
  <si>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</si>
  <si>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</si>
  <si>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</si>
  <si>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</si>
  <si>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</si>
  <si>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</si>
  <si>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</si>
  <si>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</si>
  <si>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</si>
  <si>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</si>
  <si>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</si>
  <si>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</si>
  <si>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</si>
  <si>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</si>
  <si>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</si>
  <si>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</si>
  <si>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</si>
  <si>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</si>
  <si>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</si>
  <si>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</si>
  <si>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</si>
  <si>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</si>
  <si>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Salário Educação</t>
  </si>
  <si>
    <t>SAT</t>
  </si>
  <si>
    <t>SESC ou SESI</t>
  </si>
  <si>
    <t>SENAI - SENAC</t>
  </si>
  <si>
    <t>F</t>
  </si>
  <si>
    <t>H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</si>
  <si>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</si>
  <si>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</si>
  <si>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</si>
  <si>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</si>
  <si>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</si>
  <si>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</si>
  <si>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</si>
  <si>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</si>
  <si>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</si>
  <si>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</si>
  <si>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</si>
  <si>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</si>
  <si>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</si>
  <si>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</si>
  <si>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</si>
  <si>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</si>
  <si>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</si>
  <si>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Substituto nas Ausências Legais</t>
  </si>
  <si>
    <t>4.1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</si>
  <si>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</si>
  <si>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</si>
  <si>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</si>
  <si>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</si>
  <si>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</si>
  <si>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</si>
  <si>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</si>
  <si>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4.2</t>
  </si>
  <si>
    <t>Substituto na Intrajornada</t>
  </si>
  <si>
    <t>Substituto na cobertura de Intervalo para repouso e alimentação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</si>
  <si>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</si>
  <si>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</si>
  <si>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</si>
  <si>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</si>
  <si>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Materiais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</si>
  <si>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</si>
  <si>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</si>
  <si>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</si>
  <si>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</si>
  <si>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</si>
  <si>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</si>
  <si>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</si>
  <si>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</si>
  <si>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</si>
  <si>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</si>
  <si>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</si>
  <si>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</si>
  <si>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</si>
  <si>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Engenharia/Arquitetura</t>
  </si>
  <si>
    <t>Seguro de Vida</t>
  </si>
  <si>
    <t>Seguro Saúde</t>
  </si>
  <si>
    <t>Curso de Capacitação</t>
  </si>
  <si>
    <t>Substituto na cobertura de Afastamento por Doença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</si>
</sst>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6" formatCode="_(* #,##0.00_);_(* \(#,##0.00\);_(* &quot;-&quot;??_);_(@_)"/>
    <numFmt numFmtId="167" formatCode="&quot;R$&quot;\ #,##0.00"/>
    <numFmt numFmtId="168" formatCode="_(* #,##0.0000_);_(* \(#,##0.0000\);_(* &quot;-&quot;??_);_(@_)"/>
    <numFmt numFmtId="169" formatCode="#,##0.000"/>
    <numFmt numFmtId="170" formatCode="#,##0.00_ ;\-#,##0.00\ "/>
    <numFmt numFmtId="171" formatCode="_-&quot;R$&quot;\ * #,##0.000_-;\-&quot;R$&quot;\ * #,##0.000_-;_-&quot;R$&quot;\ * &quot;-&quot;??_-;_-@_-"/>
  </numFmts>
  <fonts count="39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9"/>
      <name val="Times New Roman"/>
      <family val="1"/>
    </font>
    <font>
      <b/>
      <sz val="10"/>
      <name val="Times New Roman"/>
      <family val="1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b/>
      <sz val="11"/>
      <color rgb="FF000000"/>
      <name val="Times New Roman"/>
      <family val="1"/>
    </font>
    <font>
      <sz val="10"/>
      <color rgb="FF000000"/>
      <name val="Times New Roman"/>
      <charset val="204"/>
    </font>
    <font>
      <sz val="10"/>
      <name val="Arial"/>
    </font>
    <font>
      <b/>
      <sz val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sz val="11"/>
      <name val="Arial"/>
      <family val="2"/>
    </font>
    <font>
      <sz val="12"/>
      <name val="Times New Roman"/>
      <family val="1"/>
    </font>
    <font>
      <sz val="12"/>
      <color rgb="FF000000"/>
      <name val="Times New Roman"/>
      <family val="1"/>
    </font>
    <font>
      <b/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b/>
      <u/>
      <sz val="8"/>
      <color theme="3"/>
      <name val="Arial"/>
      <family val="2"/>
    </font>
    <font>
      <b/>
      <i/>
      <sz val="8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u/>
      <sz val="8"/>
      <name val="Arial"/>
      <family val="2"/>
    </font>
    <font>
      <b/>
      <sz val="8"/>
      <color indexed="8"/>
      <name val="Arial"/>
      <family val="2"/>
    </font>
    <font>
      <b/>
      <i/>
      <sz val="8"/>
      <color rgb="FFFF0000"/>
      <name val="Arial"/>
      <family val="2"/>
    </font>
    <font>
      <b/>
      <i/>
      <sz val="8"/>
      <color indexed="8"/>
      <name val="Arial"/>
      <family val="2"/>
    </font>
    <font>
      <sz val="8"/>
      <color theme="3"/>
      <name val="Arial"/>
      <family val="2"/>
    </font>
    <font>
      <b/>
      <sz val="12"/>
      <color theme="0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0" fontId="4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5" fillId="0" borderId="0"/>
    <xf numFmtId="166" fontId="3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11">
    <xf numFmtId="0" fontId="0" fillId="0" borderId="0" xfId="0" applyAlignment="1">
      <alignment horizontal="left" vertical="top"/>
    </xf>
    <xf numFmtId="44" fontId="0" fillId="0" borderId="0" xfId="0" applyNumberFormat="1" applyAlignment="1">
      <alignment horizontal="left" vertical="top"/>
    </xf>
    <xf numFmtId="0" fontId="8" fillId="0" borderId="0" xfId="0" applyFont="1" applyAlignment="1">
      <alignment horizontal="left" vertical="top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justify" vertical="center" wrapText="1"/>
    </xf>
    <xf numFmtId="4" fontId="12" fillId="4" borderId="1" xfId="0" applyNumberFormat="1" applyFont="1" applyFill="1" applyBorder="1" applyAlignment="1">
      <alignment horizontal="right"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right" vertical="top"/>
    </xf>
    <xf numFmtId="4" fontId="4" fillId="0" borderId="1" xfId="0" quotePrefix="1" applyNumberFormat="1" applyFont="1" applyBorder="1" applyAlignment="1">
      <alignment horizontal="right" vertical="top"/>
    </xf>
    <xf numFmtId="44" fontId="0" fillId="0" borderId="2" xfId="5" applyFont="1" applyBorder="1" applyAlignment="1">
      <alignment horizontal="right" vertical="top"/>
    </xf>
    <xf numFmtId="0" fontId="6" fillId="0" borderId="0" xfId="0" applyFont="1" applyAlignment="1">
      <alignment vertical="top"/>
    </xf>
    <xf numFmtId="44" fontId="13" fillId="0" borderId="1" xfId="5" applyFont="1" applyBorder="1" applyAlignment="1">
      <alignment horizontal="right" vertical="center" wrapText="1"/>
    </xf>
    <xf numFmtId="0" fontId="15" fillId="0" borderId="0" xfId="7"/>
    <xf numFmtId="0" fontId="15" fillId="0" borderId="0" xfId="7" applyAlignment="1">
      <alignment vertical="center"/>
    </xf>
    <xf numFmtId="167" fontId="16" fillId="2" borderId="1" xfId="7" applyNumberFormat="1" applyFont="1" applyFill="1" applyBorder="1" applyAlignment="1">
      <alignment vertical="center"/>
    </xf>
    <xf numFmtId="0" fontId="16" fillId="2" borderId="1" xfId="7" applyFont="1" applyFill="1" applyBorder="1" applyAlignment="1">
      <alignment horizontal="right" vertical="center" wrapText="1"/>
    </xf>
    <xf numFmtId="167" fontId="17" fillId="0" borderId="1" xfId="7" applyNumberFormat="1" applyFont="1" applyBorder="1" applyAlignment="1">
      <alignment vertical="center"/>
    </xf>
    <xf numFmtId="0" fontId="15" fillId="0" borderId="1" xfId="7" applyBorder="1" applyAlignment="1">
      <alignment vertical="center"/>
    </xf>
    <xf numFmtId="167" fontId="15" fillId="0" borderId="1" xfId="7" applyNumberFormat="1" applyBorder="1" applyAlignment="1">
      <alignment vertical="center"/>
    </xf>
    <xf numFmtId="0" fontId="3" fillId="0" borderId="1" xfId="7" applyFont="1" applyBorder="1" applyAlignment="1">
      <alignment vertical="center"/>
    </xf>
    <xf numFmtId="0" fontId="18" fillId="0" borderId="0" xfId="7" applyFont="1" applyAlignment="1">
      <alignment horizontal="center"/>
    </xf>
    <xf numFmtId="0" fontId="20" fillId="0" borderId="0" xfId="7" applyFont="1" applyAlignment="1">
      <alignment vertical="center" wrapText="1"/>
    </xf>
    <xf numFmtId="44" fontId="0" fillId="0" borderId="1" xfId="9" applyFont="1" applyBorder="1" applyAlignment="1">
      <alignment vertical="center"/>
    </xf>
    <xf numFmtId="0" fontId="21" fillId="0" borderId="1" xfId="7" applyFont="1" applyBorder="1" applyAlignment="1">
      <alignment horizontal="center" vertical="center"/>
    </xf>
    <xf numFmtId="0" fontId="22" fillId="0" borderId="1" xfId="7" applyFont="1" applyBorder="1" applyAlignment="1">
      <alignment horizontal="center" vertical="center" wrapText="1"/>
    </xf>
    <xf numFmtId="44" fontId="15" fillId="0" borderId="0" xfId="7" applyNumberFormat="1"/>
    <xf numFmtId="0" fontId="17" fillId="0" borderId="1" xfId="7" applyFont="1" applyBorder="1"/>
    <xf numFmtId="171" fontId="17" fillId="0" borderId="1" xfId="7" applyNumberFormat="1" applyFont="1" applyBorder="1"/>
    <xf numFmtId="171" fontId="0" fillId="0" borderId="1" xfId="9" applyNumberFormat="1" applyFont="1" applyBorder="1"/>
    <xf numFmtId="0" fontId="15" fillId="0" borderId="1" xfId="7" applyBorder="1"/>
    <xf numFmtId="0" fontId="17" fillId="0" borderId="0" xfId="7" applyFont="1"/>
    <xf numFmtId="167" fontId="15" fillId="0" borderId="0" xfId="7" applyNumberFormat="1" applyAlignment="1">
      <alignment vertical="center"/>
    </xf>
    <xf numFmtId="1" fontId="24" fillId="0" borderId="0" xfId="7" applyNumberFormat="1" applyFont="1" applyAlignment="1">
      <alignment horizontal="center"/>
    </xf>
    <xf numFmtId="0" fontId="24" fillId="0" borderId="0" xfId="7" applyFont="1" applyAlignment="1">
      <alignment horizontal="center"/>
    </xf>
    <xf numFmtId="0" fontId="25" fillId="0" borderId="0" xfId="7" applyFont="1"/>
    <xf numFmtId="0" fontId="25" fillId="0" borderId="0" xfId="7" applyFont="1" applyAlignment="1">
      <alignment horizontal="center"/>
    </xf>
    <xf numFmtId="0" fontId="25" fillId="0" borderId="0" xfId="7" applyFont="1" applyAlignment="1">
      <alignment horizontal="center" vertical="center"/>
    </xf>
    <xf numFmtId="1" fontId="27" fillId="0" borderId="0" xfId="7" applyNumberFormat="1" applyFont="1" applyAlignment="1">
      <alignment horizontal="center"/>
    </xf>
    <xf numFmtId="0" fontId="27" fillId="0" borderId="0" xfId="7" applyFont="1" applyAlignment="1">
      <alignment horizontal="center"/>
    </xf>
    <xf numFmtId="2" fontId="25" fillId="0" borderId="0" xfId="7" applyNumberFormat="1" applyFont="1" applyAlignment="1">
      <alignment horizontal="center" vertical="center"/>
    </xf>
    <xf numFmtId="0" fontId="25" fillId="0" borderId="0" xfId="7" applyFont="1" applyAlignment="1">
      <alignment vertical="center"/>
    </xf>
    <xf numFmtId="1" fontId="27" fillId="0" borderId="0" xfId="7" applyNumberFormat="1" applyFont="1" applyAlignment="1">
      <alignment horizontal="center" vertical="center"/>
    </xf>
    <xf numFmtId="0" fontId="27" fillId="0" borderId="0" xfId="7" applyFont="1" applyAlignment="1">
      <alignment horizontal="center" vertical="center"/>
    </xf>
    <xf numFmtId="4" fontId="23" fillId="0" borderId="1" xfId="7" applyNumberFormat="1" applyFont="1" applyBorder="1"/>
    <xf numFmtId="2" fontId="25" fillId="0" borderId="0" xfId="7" applyNumberFormat="1" applyFont="1" applyAlignment="1">
      <alignment horizontal="center"/>
    </xf>
    <xf numFmtId="4" fontId="23" fillId="0" borderId="1" xfId="7" applyNumberFormat="1" applyFont="1" applyBorder="1" applyAlignment="1">
      <alignment horizontal="right"/>
    </xf>
    <xf numFmtId="0" fontId="25" fillId="0" borderId="4" xfId="7" applyFont="1" applyBorder="1" applyAlignment="1">
      <alignment horizontal="left" vertical="center"/>
    </xf>
    <xf numFmtId="169" fontId="23" fillId="0" borderId="1" xfId="7" applyNumberFormat="1" applyFont="1" applyBorder="1"/>
    <xf numFmtId="4" fontId="23" fillId="0" borderId="1" xfId="7" applyNumberFormat="1" applyFont="1" applyBorder="1" applyAlignment="1">
      <alignment vertical="center"/>
    </xf>
    <xf numFmtId="2" fontId="25" fillId="0" borderId="0" xfId="7" applyNumberFormat="1" applyFont="1"/>
    <xf numFmtId="3" fontId="25" fillId="0" borderId="0" xfId="7" applyNumberFormat="1" applyFont="1" applyAlignment="1">
      <alignment horizontal="center"/>
    </xf>
    <xf numFmtId="4" fontId="23" fillId="0" borderId="0" xfId="7" applyNumberFormat="1" applyFont="1"/>
    <xf numFmtId="0" fontId="28" fillId="8" borderId="0" xfId="7" applyFont="1" applyFill="1" applyAlignment="1">
      <alignment horizontal="center" vertical="center"/>
    </xf>
    <xf numFmtId="0" fontId="25" fillId="0" borderId="0" xfId="7" applyFont="1" applyAlignment="1">
      <alignment horizontal="left" vertical="center"/>
    </xf>
    <xf numFmtId="0" fontId="29" fillId="7" borderId="16" xfId="7" applyFont="1" applyFill="1" applyBorder="1" applyAlignment="1">
      <alignment horizontal="center" vertical="center" wrapText="1"/>
    </xf>
    <xf numFmtId="0" fontId="29" fillId="7" borderId="15" xfId="7" applyFont="1" applyFill="1" applyBorder="1" applyAlignment="1">
      <alignment horizontal="center" vertical="center" wrapText="1"/>
    </xf>
    <xf numFmtId="2" fontId="25" fillId="7" borderId="15" xfId="7" applyNumberFormat="1" applyFont="1" applyFill="1" applyBorder="1" applyAlignment="1">
      <alignment horizontal="center" vertical="center" wrapText="1"/>
    </xf>
    <xf numFmtId="3" fontId="29" fillId="7" borderId="15" xfId="7" applyNumberFormat="1" applyFont="1" applyFill="1" applyBorder="1" applyAlignment="1">
      <alignment horizontal="center" vertical="center" wrapText="1"/>
    </xf>
    <xf numFmtId="4" fontId="29" fillId="7" borderId="15" xfId="7" applyNumberFormat="1" applyFont="1" applyFill="1" applyBorder="1" applyAlignment="1">
      <alignment horizontal="center" vertical="center" wrapText="1"/>
    </xf>
    <xf numFmtId="2" fontId="29" fillId="7" borderId="15" xfId="7" applyNumberFormat="1" applyFont="1" applyFill="1" applyBorder="1" applyAlignment="1">
      <alignment horizontal="center" vertical="center" wrapText="1"/>
    </xf>
    <xf numFmtId="0" fontId="24" fillId="7" borderId="15" xfId="7" applyFont="1" applyFill="1" applyBorder="1" applyAlignment="1">
      <alignment horizontal="center" vertical="center" wrapText="1"/>
    </xf>
    <xf numFmtId="0" fontId="29" fillId="7" borderId="14" xfId="7" applyFont="1" applyFill="1" applyBorder="1" applyAlignment="1">
      <alignment horizontal="center" vertical="center" wrapText="1"/>
    </xf>
    <xf numFmtId="1" fontId="32" fillId="0" borderId="0" xfId="7" applyNumberFormat="1" applyFont="1" applyAlignment="1">
      <alignment horizontal="center" vertical="center"/>
    </xf>
    <xf numFmtId="0" fontId="32" fillId="0" borderId="0" xfId="7" applyFont="1" applyAlignment="1">
      <alignment horizontal="center" vertical="center" wrapText="1"/>
    </xf>
    <xf numFmtId="0" fontId="29" fillId="0" borderId="0" xfId="7" applyFont="1" applyAlignment="1">
      <alignment horizontal="center" vertical="center"/>
    </xf>
    <xf numFmtId="0" fontId="31" fillId="7" borderId="13" xfId="7" applyFont="1" applyFill="1" applyBorder="1" applyAlignment="1">
      <alignment horizontal="center" vertical="center" wrapText="1"/>
    </xf>
    <xf numFmtId="0" fontId="31" fillId="7" borderId="2" xfId="7" applyFont="1" applyFill="1" applyBorder="1" applyAlignment="1">
      <alignment horizontal="center" vertical="center" wrapText="1"/>
    </xf>
    <xf numFmtId="2" fontId="31" fillId="7" borderId="2" xfId="7" applyNumberFormat="1" applyFont="1" applyFill="1" applyBorder="1" applyAlignment="1">
      <alignment horizontal="center" vertical="center" wrapText="1"/>
    </xf>
    <xf numFmtId="3" fontId="31" fillId="7" borderId="2" xfId="7" applyNumberFormat="1" applyFont="1" applyFill="1" applyBorder="1" applyAlignment="1">
      <alignment horizontal="center" vertical="center" wrapText="1"/>
    </xf>
    <xf numFmtId="4" fontId="31" fillId="7" borderId="2" xfId="7" applyNumberFormat="1" applyFont="1" applyFill="1" applyBorder="1" applyAlignment="1">
      <alignment horizontal="center" vertical="center" wrapText="1"/>
    </xf>
    <xf numFmtId="10" fontId="27" fillId="7" borderId="2" xfId="7" applyNumberFormat="1" applyFont="1" applyFill="1" applyBorder="1" applyAlignment="1">
      <alignment horizontal="center" vertical="center"/>
    </xf>
    <xf numFmtId="0" fontId="31" fillId="7" borderId="12" xfId="7" applyFont="1" applyFill="1" applyBorder="1" applyAlignment="1">
      <alignment horizontal="center" vertical="center" wrapText="1"/>
    </xf>
    <xf numFmtId="1" fontId="33" fillId="0" borderId="0" xfId="7" applyNumberFormat="1" applyFont="1" applyAlignment="1">
      <alignment horizontal="center" vertical="center"/>
    </xf>
    <xf numFmtId="0" fontId="33" fillId="0" borderId="0" xfId="7" applyFont="1" applyAlignment="1">
      <alignment horizontal="center" vertical="center"/>
    </xf>
    <xf numFmtId="0" fontId="31" fillId="0" borderId="0" xfId="7" applyFont="1" applyAlignment="1">
      <alignment horizontal="center" vertical="center"/>
    </xf>
    <xf numFmtId="0" fontId="29" fillId="0" borderId="11" xfId="7" applyFont="1" applyBorder="1" applyAlignment="1">
      <alignment horizontal="center" vertical="center"/>
    </xf>
    <xf numFmtId="3" fontId="25" fillId="0" borderId="1" xfId="8" applyNumberFormat="1" applyFont="1" applyBorder="1" applyAlignment="1">
      <alignment horizontal="center" vertical="center"/>
    </xf>
    <xf numFmtId="2" fontId="29" fillId="0" borderId="1" xfId="8" applyNumberFormat="1" applyFont="1" applyBorder="1" applyAlignment="1">
      <alignment horizontal="center" vertical="center"/>
    </xf>
    <xf numFmtId="2" fontId="29" fillId="0" borderId="1" xfId="7" applyNumberFormat="1" applyFont="1" applyBorder="1" applyAlignment="1">
      <alignment horizontal="center" vertical="center"/>
    </xf>
    <xf numFmtId="3" fontId="29" fillId="0" borderId="1" xfId="7" applyNumberFormat="1" applyFont="1" applyBorder="1" applyAlignment="1">
      <alignment horizontal="center" vertical="center"/>
    </xf>
    <xf numFmtId="4" fontId="29" fillId="0" borderId="1" xfId="7" applyNumberFormat="1" applyFont="1" applyBorder="1" applyAlignment="1">
      <alignment horizontal="center" vertical="center"/>
    </xf>
    <xf numFmtId="2" fontId="25" fillId="0" borderId="1" xfId="7" applyNumberFormat="1" applyFont="1" applyBorder="1" applyAlignment="1">
      <alignment horizontal="center" vertical="center"/>
    </xf>
    <xf numFmtId="1" fontId="25" fillId="0" borderId="1" xfId="7" applyNumberFormat="1" applyFont="1" applyBorder="1" applyAlignment="1">
      <alignment horizontal="center" vertical="center"/>
    </xf>
    <xf numFmtId="4" fontId="25" fillId="0" borderId="1" xfId="8" applyNumberFormat="1" applyFont="1" applyBorder="1" applyAlignment="1">
      <alignment horizontal="center" vertical="center"/>
    </xf>
    <xf numFmtId="167" fontId="29" fillId="6" borderId="1" xfId="7" applyNumberFormat="1" applyFont="1" applyFill="1" applyBorder="1" applyAlignment="1">
      <alignment horizontal="center" vertical="center"/>
    </xf>
    <xf numFmtId="167" fontId="25" fillId="6" borderId="1" xfId="8" applyNumberFormat="1" applyFont="1" applyFill="1" applyBorder="1" applyAlignment="1">
      <alignment horizontal="center" vertical="center"/>
    </xf>
    <xf numFmtId="167" fontId="29" fillId="6" borderId="1" xfId="8" applyNumberFormat="1" applyFont="1" applyFill="1" applyBorder="1" applyAlignment="1">
      <alignment horizontal="center" vertical="center"/>
    </xf>
    <xf numFmtId="167" fontId="31" fillId="6" borderId="10" xfId="7" applyNumberFormat="1" applyFont="1" applyFill="1" applyBorder="1" applyAlignment="1">
      <alignment horizontal="center" vertical="center"/>
    </xf>
    <xf numFmtId="43" fontId="32" fillId="0" borderId="0" xfId="7" applyNumberFormat="1" applyFont="1" applyAlignment="1">
      <alignment horizontal="center" vertical="center"/>
    </xf>
    <xf numFmtId="166" fontId="31" fillId="0" borderId="0" xfId="7" applyNumberFormat="1" applyFont="1" applyAlignment="1">
      <alignment horizontal="center" vertical="center"/>
    </xf>
    <xf numFmtId="168" fontId="31" fillId="0" borderId="0" xfId="7" applyNumberFormat="1" applyFont="1" applyAlignment="1">
      <alignment horizontal="center" vertical="center"/>
    </xf>
    <xf numFmtId="0" fontId="29" fillId="0" borderId="9" xfId="7" applyFont="1" applyBorder="1" applyAlignment="1">
      <alignment horizontal="center" vertical="center"/>
    </xf>
    <xf numFmtId="3" fontId="25" fillId="0" borderId="8" xfId="8" applyNumberFormat="1" applyFont="1" applyBorder="1" applyAlignment="1">
      <alignment horizontal="center" vertical="center"/>
    </xf>
    <xf numFmtId="2" fontId="29" fillId="0" borderId="8" xfId="8" applyNumberFormat="1" applyFont="1" applyBorder="1" applyAlignment="1">
      <alignment horizontal="center" vertical="center"/>
    </xf>
    <xf numFmtId="2" fontId="29" fillId="0" borderId="8" xfId="7" applyNumberFormat="1" applyFont="1" applyBorder="1" applyAlignment="1">
      <alignment horizontal="center" vertical="center"/>
    </xf>
    <xf numFmtId="3" fontId="29" fillId="0" borderId="8" xfId="7" applyNumberFormat="1" applyFont="1" applyBorder="1" applyAlignment="1">
      <alignment horizontal="center" vertical="center"/>
    </xf>
    <xf numFmtId="4" fontId="29" fillId="0" borderId="8" xfId="7" applyNumberFormat="1" applyFont="1" applyBorder="1" applyAlignment="1">
      <alignment horizontal="center" vertical="center"/>
    </xf>
    <xf numFmtId="2" fontId="25" fillId="0" borderId="8" xfId="7" applyNumberFormat="1" applyFont="1" applyBorder="1" applyAlignment="1">
      <alignment horizontal="center" vertical="center"/>
    </xf>
    <xf numFmtId="1" fontId="25" fillId="0" borderId="8" xfId="7" applyNumberFormat="1" applyFont="1" applyBorder="1" applyAlignment="1">
      <alignment horizontal="center" vertical="center"/>
    </xf>
    <xf numFmtId="4" fontId="25" fillId="0" borderId="8" xfId="8" applyNumberFormat="1" applyFont="1" applyBorder="1" applyAlignment="1">
      <alignment horizontal="center" vertical="center"/>
    </xf>
    <xf numFmtId="167" fontId="29" fillId="6" borderId="8" xfId="7" applyNumberFormat="1" applyFont="1" applyFill="1" applyBorder="1" applyAlignment="1">
      <alignment horizontal="center" vertical="center"/>
    </xf>
    <xf numFmtId="167" fontId="29" fillId="6" borderId="8" xfId="8" applyNumberFormat="1" applyFont="1" applyFill="1" applyBorder="1" applyAlignment="1">
      <alignment horizontal="center" vertical="center"/>
    </xf>
    <xf numFmtId="167" fontId="25" fillId="6" borderId="8" xfId="8" applyNumberFormat="1" applyFont="1" applyFill="1" applyBorder="1" applyAlignment="1">
      <alignment horizontal="center" vertical="center"/>
    </xf>
    <xf numFmtId="167" fontId="31" fillId="6" borderId="7" xfId="7" applyNumberFormat="1" applyFont="1" applyFill="1" applyBorder="1" applyAlignment="1">
      <alignment horizontal="center" vertical="center"/>
    </xf>
    <xf numFmtId="0" fontId="29" fillId="0" borderId="0" xfId="7" applyFont="1"/>
    <xf numFmtId="2" fontId="29" fillId="0" borderId="0" xfId="7" applyNumberFormat="1" applyFont="1"/>
    <xf numFmtId="3" fontId="29" fillId="0" borderId="0" xfId="7" applyNumberFormat="1" applyFont="1" applyAlignment="1">
      <alignment horizontal="center"/>
    </xf>
    <xf numFmtId="4" fontId="31" fillId="0" borderId="0" xfId="7" applyNumberFormat="1" applyFont="1"/>
    <xf numFmtId="2" fontId="29" fillId="0" borderId="0" xfId="7" applyNumberFormat="1" applyFont="1" applyAlignment="1">
      <alignment horizontal="center"/>
    </xf>
    <xf numFmtId="0" fontId="29" fillId="0" borderId="0" xfId="7" applyFont="1" applyAlignment="1">
      <alignment horizontal="center"/>
    </xf>
    <xf numFmtId="1" fontId="32" fillId="0" borderId="0" xfId="7" applyNumberFormat="1" applyFont="1" applyAlignment="1">
      <alignment horizontal="center"/>
    </xf>
    <xf numFmtId="43" fontId="32" fillId="0" borderId="0" xfId="7" applyNumberFormat="1" applyFont="1" applyAlignment="1">
      <alignment horizontal="center"/>
    </xf>
    <xf numFmtId="0" fontId="28" fillId="0" borderId="0" xfId="7" applyFont="1" applyAlignment="1">
      <alignment horizontal="center"/>
    </xf>
    <xf numFmtId="0" fontId="34" fillId="7" borderId="15" xfId="7" applyFont="1" applyFill="1" applyBorder="1" applyAlignment="1">
      <alignment horizontal="center" vertical="center" wrapText="1"/>
    </xf>
    <xf numFmtId="3" fontId="34" fillId="7" borderId="15" xfId="7" applyNumberFormat="1" applyFont="1" applyFill="1" applyBorder="1" applyAlignment="1">
      <alignment horizontal="center" vertical="center" wrapText="1"/>
    </xf>
    <xf numFmtId="3" fontId="25" fillId="0" borderId="1" xfId="7" applyNumberFormat="1" applyFont="1" applyBorder="1" applyAlignment="1">
      <alignment horizontal="center" vertical="center"/>
    </xf>
    <xf numFmtId="3" fontId="34" fillId="0" borderId="1" xfId="8" applyNumberFormat="1" applyFont="1" applyBorder="1" applyAlignment="1">
      <alignment horizontal="center" vertical="center"/>
    </xf>
    <xf numFmtId="3" fontId="34" fillId="0" borderId="1" xfId="7" applyNumberFormat="1" applyFont="1" applyBorder="1" applyAlignment="1">
      <alignment horizontal="center" vertical="center"/>
    </xf>
    <xf numFmtId="0" fontId="23" fillId="0" borderId="17" xfId="7" applyFont="1" applyBorder="1" applyAlignment="1">
      <alignment horizontal="left" vertical="center"/>
    </xf>
    <xf numFmtId="0" fontId="23" fillId="0" borderId="17" xfId="7" applyFont="1" applyBorder="1" applyAlignment="1">
      <alignment horizontal="center" vertical="center"/>
    </xf>
    <xf numFmtId="0" fontId="25" fillId="0" borderId="5" xfId="7" applyFont="1" applyBorder="1" applyAlignment="1">
      <alignment horizontal="left" vertical="center"/>
    </xf>
    <xf numFmtId="0" fontId="25" fillId="0" borderId="3" xfId="7" applyFont="1" applyBorder="1" applyAlignment="1">
      <alignment horizontal="left" vertical="center"/>
    </xf>
    <xf numFmtId="170" fontId="32" fillId="0" borderId="0" xfId="7" applyNumberFormat="1" applyFont="1" applyAlignment="1">
      <alignment horizontal="center" vertical="center"/>
    </xf>
    <xf numFmtId="170" fontId="32" fillId="0" borderId="0" xfId="7" applyNumberFormat="1" applyFont="1" applyAlignment="1">
      <alignment horizontal="center"/>
    </xf>
    <xf numFmtId="43" fontId="15" fillId="0" borderId="0" xfId="6" applyFont="1"/>
    <xf numFmtId="0" fontId="11" fillId="0" borderId="1" xfId="0" applyFont="1" applyBorder="1" applyAlignment="1">
      <alignment vertical="center"/>
    </xf>
    <xf numFmtId="44" fontId="12" fillId="0" borderId="1" xfId="0" applyNumberFormat="1" applyFont="1" applyBorder="1" applyAlignment="1">
      <alignment horizontal="left" vertical="center" wrapText="1"/>
    </xf>
    <xf numFmtId="44" fontId="12" fillId="0" borderId="1" xfId="5" applyFont="1" applyBorder="1" applyAlignment="1">
      <alignment horizontal="left" vertical="center" wrapText="1"/>
    </xf>
    <xf numFmtId="0" fontId="11" fillId="5" borderId="1" xfId="0" applyFont="1" applyFill="1" applyBorder="1" applyAlignment="1">
      <alignment horizontal="left" vertical="center"/>
    </xf>
    <xf numFmtId="44" fontId="11" fillId="0" borderId="1" xfId="0" applyNumberFormat="1" applyFont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/>
    </xf>
    <xf numFmtId="44" fontId="12" fillId="0" borderId="1" xfId="0" applyNumberFormat="1" applyFont="1" applyBorder="1" applyAlignment="1">
      <alignment horizontal="left" vertical="center"/>
    </xf>
    <xf numFmtId="0" fontId="12" fillId="5" borderId="1" xfId="0" applyFont="1" applyFill="1" applyBorder="1" applyAlignment="1">
      <alignment horizontal="left" vertical="center"/>
    </xf>
    <xf numFmtId="44" fontId="11" fillId="0" borderId="1" xfId="0" applyNumberFormat="1" applyFont="1" applyBorder="1" applyAlignment="1">
      <alignment horizontal="left" vertical="center"/>
    </xf>
    <xf numFmtId="0" fontId="11" fillId="2" borderId="1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/>
    </xf>
    <xf numFmtId="44" fontId="8" fillId="0" borderId="1" xfId="0" applyNumberFormat="1" applyFont="1" applyBorder="1" applyAlignment="1">
      <alignment horizontal="center" vertical="top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justify" vertical="center" wrapText="1"/>
    </xf>
    <xf numFmtId="0" fontId="11" fillId="4" borderId="1" xfId="0" applyFont="1" applyFill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44" fontId="12" fillId="0" borderId="1" xfId="5" applyFont="1" applyBorder="1" applyAlignment="1">
      <alignment horizontal="center" vertical="center"/>
    </xf>
    <xf numFmtId="4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11" fillId="5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2" fillId="5" borderId="1" xfId="0" applyFont="1" applyFill="1" applyBorder="1" applyAlignment="1">
      <alignment horizontal="left" vertical="center"/>
    </xf>
    <xf numFmtId="0" fontId="23" fillId="0" borderId="0" xfId="7" applyFont="1" applyAlignment="1">
      <alignment horizontal="center"/>
    </xf>
    <xf numFmtId="0" fontId="26" fillId="0" borderId="0" xfId="7" applyFont="1" applyAlignment="1">
      <alignment horizontal="center"/>
    </xf>
    <xf numFmtId="0" fontId="25" fillId="0" borderId="4" xfId="7" applyFont="1" applyBorder="1" applyAlignment="1">
      <alignment horizontal="left" vertical="center"/>
    </xf>
    <xf numFmtId="0" fontId="25" fillId="0" borderId="5" xfId="7" applyFont="1" applyBorder="1" applyAlignment="1">
      <alignment horizontal="left" vertical="center"/>
    </xf>
    <xf numFmtId="0" fontId="25" fillId="0" borderId="3" xfId="7" applyFont="1" applyBorder="1" applyAlignment="1">
      <alignment horizontal="left" vertical="center"/>
    </xf>
    <xf numFmtId="0" fontId="23" fillId="0" borderId="17" xfId="7" applyFont="1" applyBorder="1" applyAlignment="1">
      <alignment horizontal="center" vertical="center"/>
    </xf>
    <xf numFmtId="0" fontId="23" fillId="0" borderId="1" xfId="7" applyFont="1" applyBorder="1" applyAlignment="1">
      <alignment horizontal="center" vertical="center"/>
    </xf>
    <xf numFmtId="0" fontId="20" fillId="0" borderId="0" xfId="7" applyFont="1" applyAlignment="1">
      <alignment horizontal="center" vertical="center" wrapText="1"/>
    </xf>
    <xf numFmtId="0" fontId="19" fillId="0" borderId="0" xfId="7" applyFont="1" applyAlignment="1">
      <alignment horizontal="center"/>
    </xf>
    <xf numFmtId="0" fontId="35" fillId="9" borderId="0" xfId="10" applyFont="1" applyFill="1" applyAlignment="1">
      <alignment horizontal="center"/>
    </xf>
    <xf numFmtId="0" fontId="36" fillId="0" borderId="0" xfId="10" applyFont="1"/>
    <xf numFmtId="0" fontId="37" fillId="10" borderId="0" xfId="10" applyFont="1" applyFill="1" applyBorder="1" applyAlignment="1">
      <alignment horizontal="center" vertical="center"/>
    </xf>
    <xf numFmtId="0" fontId="37" fillId="0" borderId="0" xfId="10" applyFont="1" applyFill="1" applyBorder="1" applyAlignment="1">
      <alignment horizontal="center" vertical="center"/>
    </xf>
    <xf numFmtId="0" fontId="36" fillId="0" borderId="1" xfId="10" applyFont="1" applyBorder="1"/>
    <xf numFmtId="0" fontId="36" fillId="0" borderId="1" xfId="10" applyFont="1" applyBorder="1" applyAlignment="1">
      <alignment horizontal="center"/>
    </xf>
    <xf numFmtId="0" fontId="37" fillId="0" borderId="1" xfId="10" applyFont="1" applyBorder="1" applyAlignment="1">
      <alignment horizontal="center" vertical="center" wrapText="1"/>
    </xf>
    <xf numFmtId="0" fontId="37" fillId="0" borderId="1" xfId="10" applyFont="1" applyBorder="1" applyAlignment="1">
      <alignment horizontal="center" vertical="center" wrapText="1"/>
    </xf>
    <xf numFmtId="0" fontId="36" fillId="0" borderId="1" xfId="10" applyFont="1" applyBorder="1" applyAlignment="1">
      <alignment horizontal="center" vertical="center" wrapText="1"/>
    </xf>
    <xf numFmtId="0" fontId="36" fillId="0" borderId="1" xfId="10" applyFont="1" applyBorder="1" applyAlignment="1">
      <alignment vertical="center" wrapText="1"/>
    </xf>
    <xf numFmtId="43" fontId="36" fillId="0" borderId="1" xfId="11" applyFont="1" applyBorder="1" applyAlignment="1">
      <alignment horizontal="center" vertical="center" wrapText="1"/>
    </xf>
    <xf numFmtId="43" fontId="37" fillId="0" borderId="1" xfId="11" applyFont="1" applyBorder="1" applyAlignment="1">
      <alignment horizontal="center" vertical="center" wrapText="1"/>
    </xf>
    <xf numFmtId="0" fontId="37" fillId="10" borderId="0" xfId="10" applyFont="1" applyFill="1" applyAlignment="1">
      <alignment horizontal="center" vertical="center"/>
    </xf>
    <xf numFmtId="0" fontId="37" fillId="0" borderId="0" xfId="10" applyFont="1" applyAlignment="1">
      <alignment vertical="center"/>
    </xf>
    <xf numFmtId="0" fontId="37" fillId="3" borderId="0" xfId="10" applyFont="1" applyFill="1" applyBorder="1" applyAlignment="1">
      <alignment horizontal="center" vertical="center"/>
    </xf>
    <xf numFmtId="0" fontId="36" fillId="0" borderId="1" xfId="10" applyFont="1" applyBorder="1" applyAlignment="1">
      <alignment vertical="center" wrapText="1"/>
    </xf>
    <xf numFmtId="10" fontId="36" fillId="0" borderId="1" xfId="12" applyNumberFormat="1" applyFont="1" applyBorder="1" applyAlignment="1">
      <alignment horizontal="center" vertical="center" wrapText="1"/>
    </xf>
    <xf numFmtId="43" fontId="37" fillId="0" borderId="1" xfId="10" applyNumberFormat="1" applyFont="1" applyBorder="1" applyAlignment="1">
      <alignment horizontal="center" vertical="center" wrapText="1"/>
    </xf>
    <xf numFmtId="0" fontId="37" fillId="3" borderId="0" xfId="10" applyFont="1" applyFill="1" applyBorder="1" applyAlignment="1">
      <alignment horizontal="center" vertical="center" wrapText="1"/>
    </xf>
    <xf numFmtId="10" fontId="36" fillId="0" borderId="1" xfId="10" applyNumberFormat="1" applyFont="1" applyBorder="1" applyAlignment="1">
      <alignment horizontal="center" vertical="center" wrapText="1"/>
    </xf>
    <xf numFmtId="10" fontId="36" fillId="11" borderId="1" xfId="12" applyNumberFormat="1" applyFont="1" applyFill="1" applyBorder="1" applyAlignment="1">
      <alignment horizontal="center" vertical="center" wrapText="1"/>
    </xf>
    <xf numFmtId="10" fontId="37" fillId="0" borderId="1" xfId="10" applyNumberFormat="1" applyFont="1" applyBorder="1" applyAlignment="1">
      <alignment horizontal="center" vertical="center" wrapText="1"/>
    </xf>
    <xf numFmtId="0" fontId="37" fillId="0" borderId="1" xfId="10" applyFont="1" applyBorder="1" applyAlignment="1">
      <alignment horizontal="left" vertical="center" wrapText="1"/>
    </xf>
    <xf numFmtId="43" fontId="36" fillId="0" borderId="1" xfId="10" applyNumberFormat="1" applyFont="1" applyBorder="1" applyAlignment="1">
      <alignment horizontal="center" vertical="center" wrapText="1"/>
    </xf>
    <xf numFmtId="0" fontId="36" fillId="0" borderId="0" xfId="10" applyFont="1" applyAlignment="1">
      <alignment vertical="center"/>
    </xf>
    <xf numFmtId="0" fontId="36" fillId="0" borderId="1" xfId="10" applyFont="1" applyBorder="1" applyAlignment="1">
      <alignment horizontal="justify" vertical="center" wrapText="1"/>
    </xf>
    <xf numFmtId="10" fontId="36" fillId="0" borderId="0" xfId="12" applyNumberFormat="1" applyFont="1"/>
    <xf numFmtId="43" fontId="36" fillId="0" borderId="0" xfId="10" applyNumberFormat="1" applyFont="1"/>
    <xf numFmtId="0" fontId="36" fillId="0" borderId="4" xfId="10" applyFont="1" applyBorder="1" applyAlignment="1">
      <alignment vertical="center" wrapText="1"/>
    </xf>
    <xf numFmtId="0" fontId="36" fillId="0" borderId="3" xfId="10" applyFont="1" applyBorder="1" applyAlignment="1">
      <alignment vertical="center" wrapText="1"/>
    </xf>
    <xf numFmtId="0" fontId="37" fillId="0" borderId="1" xfId="10" applyFont="1" applyBorder="1" applyAlignment="1">
      <alignment vertical="center" wrapText="1"/>
    </xf>
    <xf numFmtId="0" fontId="37" fillId="0" borderId="1" xfId="10" applyFont="1" applyBorder="1" applyAlignment="1">
      <alignment vertical="center" wrapText="1"/>
    </xf>
    <xf numFmtId="0" fontId="37" fillId="0" borderId="4" xfId="10" applyFont="1" applyBorder="1" applyAlignment="1">
      <alignment horizontal="center" vertical="center" wrapText="1"/>
    </xf>
    <xf numFmtId="0" fontId="37" fillId="0" borderId="5" xfId="10" applyFont="1" applyBorder="1" applyAlignment="1">
      <alignment horizontal="center" vertical="center" wrapText="1"/>
    </xf>
    <xf numFmtId="10" fontId="38" fillId="0" borderId="3" xfId="12" applyNumberFormat="1" applyFont="1" applyBorder="1" applyAlignment="1">
      <alignment horizontal="center" vertical="center" wrapText="1"/>
    </xf>
    <xf numFmtId="43" fontId="36" fillId="0" borderId="1" xfId="10" applyNumberFormat="1" applyFont="1" applyBorder="1" applyAlignment="1">
      <alignment vertical="center" wrapText="1"/>
    </xf>
    <xf numFmtId="43" fontId="37" fillId="0" borderId="1" xfId="10" applyNumberFormat="1" applyFont="1" applyBorder="1" applyAlignment="1">
      <alignment vertical="center" wrapText="1"/>
    </xf>
    <xf numFmtId="43" fontId="36" fillId="0" borderId="1" xfId="11" applyFont="1" applyBorder="1" applyAlignment="1">
      <alignment vertical="center" wrapText="1"/>
    </xf>
  </cellXfs>
  <cellStyles count="18">
    <cellStyle name="Moeda" xfId="5" builtinId="4"/>
    <cellStyle name="Moeda 2" xfId="9"/>
    <cellStyle name="Normal" xfId="0" builtinId="0"/>
    <cellStyle name="Normal 2" xfId="1"/>
    <cellStyle name="Normal 3" xfId="7"/>
    <cellStyle name="Normal 4" xfId="10"/>
    <cellStyle name="Porcentagem 2" xfId="2"/>
    <cellStyle name="Porcentagem 3" xfId="3"/>
    <cellStyle name="Porcentagem 4" xfId="12"/>
    <cellStyle name="Vírgula" xfId="6" builtinId="3"/>
    <cellStyle name="Vírgula 2" xfId="4"/>
    <cellStyle name="Vírgula 3" xfId="8"/>
    <cellStyle name="Vírgula 3 2" xfId="13"/>
    <cellStyle name="Vírgula 4" xfId="11"/>
    <cellStyle name="Vírgula 4 2" xfId="14"/>
    <cellStyle name="Vírgula 5" xfId="15"/>
    <cellStyle name="Vírgula 5 2" xfId="16"/>
    <cellStyle name="Vírgula 6" xfId="1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1"/>
  <sheetViews>
    <sheetView topLeftCell="A40" zoomScale="115" zoomScaleNormal="115" workbookViewId="0">
      <selection activeCell="A55" sqref="A55:C55"/>
    </sheetView>
  </sheetViews>
  <sheetFormatPr defaultRowHeight="12.75" x14ac:dyDescent="0.2"/>
  <cols>
    <col min="1" max="1" width="9.33203125" style="174"/>
    <col min="2" max="2" width="70.33203125" style="174" customWidth="1"/>
    <col min="3" max="3" width="21" style="174" customWidth="1"/>
    <col min="4" max="4" width="16.6640625" style="174" customWidth="1"/>
    <col min="5" max="5" width="14.83203125" style="174" customWidth="1"/>
    <col min="6" max="6" width="14" style="174" customWidth="1"/>
    <col min="7" max="7" width="17.6640625" style="174" customWidth="1"/>
    <col min="8" max="16384" width="9.33203125" style="174"/>
  </cols>
  <sheetData>
    <row r="1" spans="1:4" ht="15.75" x14ac:dyDescent="0.25">
      <c r="A1" s="173" t="s">
        <v>131</v>
      </c>
      <c r="B1" s="173"/>
      <c r="C1" s="173"/>
      <c r="D1" s="173"/>
    </row>
    <row r="3" spans="1:4" x14ac:dyDescent="0.2">
      <c r="A3" s="175" t="s">
        <v>132</v>
      </c>
      <c r="B3" s="175"/>
      <c r="C3" s="175"/>
      <c r="D3" s="175"/>
    </row>
    <row r="4" spans="1:4" x14ac:dyDescent="0.2">
      <c r="A4" s="176"/>
      <c r="B4" s="176"/>
      <c r="C4" s="176"/>
      <c r="D4" s="176"/>
    </row>
    <row r="5" spans="1:4" x14ac:dyDescent="0.2">
      <c r="A5" s="177">
        <v>1</v>
      </c>
      <c r="B5" s="177" t="s">
        <v>133</v>
      </c>
      <c r="C5" s="178" t="s">
        <v>216</v>
      </c>
      <c r="D5" s="178"/>
    </row>
    <row r="6" spans="1:4" x14ac:dyDescent="0.2">
      <c r="A6" s="177">
        <v>2</v>
      </c>
      <c r="B6" s="177" t="s">
        <v>134</v>
      </c>
      <c r="C6" s="178"/>
      <c r="D6" s="178"/>
    </row>
    <row r="7" spans="1:4" x14ac:dyDescent="0.2">
      <c r="A7" s="177">
        <v>3</v>
      </c>
      <c r="B7" s="177" t="s">
        <v>135</v>
      </c>
      <c r="C7" s="178"/>
      <c r="D7" s="178"/>
    </row>
    <row r="8" spans="1:4" x14ac:dyDescent="0.2">
      <c r="A8" s="177">
        <v>4</v>
      </c>
      <c r="B8" s="177" t="s">
        <v>136</v>
      </c>
      <c r="C8" s="178"/>
      <c r="D8" s="178"/>
    </row>
    <row r="10" spans="1:4" x14ac:dyDescent="0.2">
      <c r="A10" s="175" t="s">
        <v>137</v>
      </c>
      <c r="B10" s="175"/>
      <c r="C10" s="175"/>
      <c r="D10" s="175"/>
    </row>
    <row r="12" spans="1:4" x14ac:dyDescent="0.2">
      <c r="A12" s="179">
        <v>1</v>
      </c>
      <c r="B12" s="180" t="s">
        <v>138</v>
      </c>
      <c r="C12" s="180"/>
      <c r="D12" s="179" t="s">
        <v>139</v>
      </c>
    </row>
    <row r="13" spans="1:4" x14ac:dyDescent="0.2">
      <c r="A13" s="181" t="s">
        <v>140</v>
      </c>
      <c r="B13" s="182" t="s">
        <v>141</v>
      </c>
      <c r="C13" s="182"/>
      <c r="D13" s="183">
        <f>998*8.5</f>
        <v>8483</v>
      </c>
    </row>
    <row r="14" spans="1:4" x14ac:dyDescent="0.2">
      <c r="A14" s="181" t="s">
        <v>142</v>
      </c>
      <c r="B14" s="182" t="s">
        <v>143</v>
      </c>
      <c r="C14" s="182"/>
      <c r="D14" s="183"/>
    </row>
    <row r="15" spans="1:4" x14ac:dyDescent="0.2">
      <c r="A15" s="181" t="s">
        <v>144</v>
      </c>
      <c r="B15" s="182" t="s">
        <v>145</v>
      </c>
      <c r="C15" s="182"/>
      <c r="D15" s="183"/>
    </row>
    <row r="16" spans="1:4" x14ac:dyDescent="0.2">
      <c r="A16" s="181" t="s">
        <v>146</v>
      </c>
      <c r="B16" s="182" t="s">
        <v>147</v>
      </c>
      <c r="C16" s="182"/>
      <c r="D16" s="183"/>
    </row>
    <row r="17" spans="1:4" x14ac:dyDescent="0.2">
      <c r="A17" s="181" t="s">
        <v>148</v>
      </c>
      <c r="B17" s="182" t="s">
        <v>149</v>
      </c>
      <c r="C17" s="182"/>
      <c r="D17" s="183"/>
    </row>
    <row r="18" spans="1:4" x14ac:dyDescent="0.2">
      <c r="A18" s="181"/>
      <c r="B18" s="182"/>
      <c r="C18" s="182"/>
      <c r="D18" s="183"/>
    </row>
    <row r="19" spans="1:4" x14ac:dyDescent="0.2">
      <c r="A19" s="181" t="s">
        <v>150</v>
      </c>
      <c r="B19" s="182" t="s">
        <v>151</v>
      </c>
      <c r="C19" s="182"/>
      <c r="D19" s="183"/>
    </row>
    <row r="20" spans="1:4" x14ac:dyDescent="0.2">
      <c r="A20" s="180" t="s">
        <v>152</v>
      </c>
      <c r="B20" s="180"/>
      <c r="C20" s="180"/>
      <c r="D20" s="184">
        <f>SUM(D13:D19)</f>
        <v>8483</v>
      </c>
    </row>
    <row r="23" spans="1:4" x14ac:dyDescent="0.2">
      <c r="A23" s="185" t="s">
        <v>153</v>
      </c>
      <c r="B23" s="185"/>
      <c r="C23" s="185"/>
      <c r="D23" s="185"/>
    </row>
    <row r="24" spans="1:4" x14ac:dyDescent="0.2">
      <c r="A24" s="186"/>
    </row>
    <row r="25" spans="1:4" x14ac:dyDescent="0.2">
      <c r="A25" s="187" t="s">
        <v>154</v>
      </c>
      <c r="B25" s="187"/>
      <c r="C25" s="187"/>
      <c r="D25" s="187"/>
    </row>
    <row r="27" spans="1:4" x14ac:dyDescent="0.2">
      <c r="A27" s="179" t="s">
        <v>155</v>
      </c>
      <c r="B27" s="180" t="s">
        <v>156</v>
      </c>
      <c r="C27" s="180"/>
      <c r="D27" s="179" t="s">
        <v>139</v>
      </c>
    </row>
    <row r="28" spans="1:4" x14ac:dyDescent="0.2">
      <c r="A28" s="181" t="s">
        <v>140</v>
      </c>
      <c r="B28" s="188" t="s">
        <v>157</v>
      </c>
      <c r="C28" s="189">
        <f>1/12</f>
        <v>8.3333333333333329E-2</v>
      </c>
      <c r="D28" s="183">
        <f>TRUNC($D$20*C28,2)</f>
        <v>706.91</v>
      </c>
    </row>
    <row r="29" spans="1:4" x14ac:dyDescent="0.2">
      <c r="A29" s="181" t="s">
        <v>142</v>
      </c>
      <c r="B29" s="188" t="s">
        <v>158</v>
      </c>
      <c r="C29" s="189">
        <f>(1/12)*(4/3)</f>
        <v>0.1111111111111111</v>
      </c>
      <c r="D29" s="183">
        <f>TRUNC($D$20*C29,2)</f>
        <v>942.55</v>
      </c>
    </row>
    <row r="30" spans="1:4" x14ac:dyDescent="0.2">
      <c r="A30" s="180" t="s">
        <v>152</v>
      </c>
      <c r="B30" s="180"/>
      <c r="C30" s="180"/>
      <c r="D30" s="190">
        <f>SUM(D28:D29)</f>
        <v>1649.46</v>
      </c>
    </row>
    <row r="33" spans="1:4" x14ac:dyDescent="0.2">
      <c r="A33" s="191" t="s">
        <v>159</v>
      </c>
      <c r="B33" s="191"/>
      <c r="C33" s="191"/>
      <c r="D33" s="191"/>
    </row>
    <row r="35" spans="1:4" x14ac:dyDescent="0.2">
      <c r="A35" s="179" t="s">
        <v>160</v>
      </c>
      <c r="B35" s="179" t="s">
        <v>161</v>
      </c>
      <c r="C35" s="179" t="s">
        <v>162</v>
      </c>
      <c r="D35" s="179" t="s">
        <v>139</v>
      </c>
    </row>
    <row r="36" spans="1:4" x14ac:dyDescent="0.2">
      <c r="A36" s="181" t="s">
        <v>140</v>
      </c>
      <c r="B36" s="188" t="s">
        <v>3</v>
      </c>
      <c r="C36" s="192">
        <v>0.2</v>
      </c>
      <c r="D36" s="183">
        <f>TRUNC($D$20*C36,2)</f>
        <v>1696.6</v>
      </c>
    </row>
    <row r="37" spans="1:4" x14ac:dyDescent="0.2">
      <c r="A37" s="181" t="s">
        <v>142</v>
      </c>
      <c r="B37" s="188" t="s">
        <v>163</v>
      </c>
      <c r="C37" s="192">
        <v>2.5000000000000001E-2</v>
      </c>
      <c r="D37" s="183">
        <f t="shared" ref="D37:D43" si="0">TRUNC($D$20*C37,2)</f>
        <v>212.07</v>
      </c>
    </row>
    <row r="38" spans="1:4" x14ac:dyDescent="0.2">
      <c r="A38" s="181" t="s">
        <v>144</v>
      </c>
      <c r="B38" s="188" t="s">
        <v>164</v>
      </c>
      <c r="C38" s="193">
        <v>0.03</v>
      </c>
      <c r="D38" s="183">
        <f t="shared" si="0"/>
        <v>254.49</v>
      </c>
    </row>
    <row r="39" spans="1:4" x14ac:dyDescent="0.2">
      <c r="A39" s="181" t="s">
        <v>146</v>
      </c>
      <c r="B39" s="188" t="s">
        <v>165</v>
      </c>
      <c r="C39" s="192">
        <v>1.4999999999999999E-2</v>
      </c>
      <c r="D39" s="183">
        <f t="shared" si="0"/>
        <v>127.24</v>
      </c>
    </row>
    <row r="40" spans="1:4" x14ac:dyDescent="0.2">
      <c r="A40" s="181" t="s">
        <v>148</v>
      </c>
      <c r="B40" s="188" t="s">
        <v>166</v>
      </c>
      <c r="C40" s="192">
        <v>0.01</v>
      </c>
      <c r="D40" s="183">
        <f t="shared" si="0"/>
        <v>84.83</v>
      </c>
    </row>
    <row r="41" spans="1:4" x14ac:dyDescent="0.2">
      <c r="A41" s="181" t="s">
        <v>167</v>
      </c>
      <c r="B41" s="188" t="s">
        <v>6</v>
      </c>
      <c r="C41" s="192">
        <v>6.0000000000000001E-3</v>
      </c>
      <c r="D41" s="183">
        <f t="shared" si="0"/>
        <v>50.89</v>
      </c>
    </row>
    <row r="42" spans="1:4" x14ac:dyDescent="0.2">
      <c r="A42" s="181" t="s">
        <v>150</v>
      </c>
      <c r="B42" s="188" t="s">
        <v>4</v>
      </c>
      <c r="C42" s="192">
        <v>2E-3</v>
      </c>
      <c r="D42" s="183">
        <f t="shared" si="0"/>
        <v>16.96</v>
      </c>
    </row>
    <row r="43" spans="1:4" x14ac:dyDescent="0.2">
      <c r="A43" s="181" t="s">
        <v>168</v>
      </c>
      <c r="B43" s="188" t="s">
        <v>5</v>
      </c>
      <c r="C43" s="192">
        <v>0.08</v>
      </c>
      <c r="D43" s="183">
        <f t="shared" si="0"/>
        <v>678.64</v>
      </c>
    </row>
    <row r="44" spans="1:4" x14ac:dyDescent="0.2">
      <c r="A44" s="180" t="s">
        <v>169</v>
      </c>
      <c r="B44" s="180"/>
      <c r="C44" s="194">
        <f>SUM(C36:C43)</f>
        <v>0.36800000000000005</v>
      </c>
      <c r="D44" s="190">
        <f>SUM(D36:D43)</f>
        <v>3121.7199999999993</v>
      </c>
    </row>
    <row r="47" spans="1:4" x14ac:dyDescent="0.2">
      <c r="A47" s="187" t="s">
        <v>170</v>
      </c>
      <c r="B47" s="187"/>
      <c r="C47" s="187"/>
      <c r="D47" s="187"/>
    </row>
    <row r="49" spans="1:4" x14ac:dyDescent="0.2">
      <c r="A49" s="179" t="s">
        <v>171</v>
      </c>
      <c r="B49" s="195" t="s">
        <v>172</v>
      </c>
      <c r="C49" s="195"/>
      <c r="D49" s="179" t="s">
        <v>139</v>
      </c>
    </row>
    <row r="50" spans="1:4" x14ac:dyDescent="0.2">
      <c r="A50" s="181" t="s">
        <v>140</v>
      </c>
      <c r="B50" s="182" t="s">
        <v>173</v>
      </c>
      <c r="C50" s="182"/>
      <c r="D50" s="183">
        <f>IF(((44*3.7)-(D13*0.06))&gt;0,((44*3.7)-(D13*0.06)),0)</f>
        <v>0</v>
      </c>
    </row>
    <row r="51" spans="1:4" x14ac:dyDescent="0.2">
      <c r="A51" s="181" t="s">
        <v>142</v>
      </c>
      <c r="B51" s="182" t="s">
        <v>174</v>
      </c>
      <c r="C51" s="182"/>
      <c r="D51" s="183">
        <f>15*22</f>
        <v>330</v>
      </c>
    </row>
    <row r="52" spans="1:4" x14ac:dyDescent="0.2">
      <c r="A52" s="181" t="s">
        <v>144</v>
      </c>
      <c r="B52" s="182" t="s">
        <v>217</v>
      </c>
      <c r="C52" s="182"/>
      <c r="D52" s="183">
        <v>3.94</v>
      </c>
    </row>
    <row r="53" spans="1:4" x14ac:dyDescent="0.2">
      <c r="A53" s="181" t="s">
        <v>146</v>
      </c>
      <c r="B53" s="182" t="s">
        <v>218</v>
      </c>
      <c r="C53" s="182"/>
      <c r="D53" s="183">
        <v>0</v>
      </c>
    </row>
    <row r="54" spans="1:4" x14ac:dyDescent="0.2">
      <c r="A54" s="181" t="s">
        <v>148</v>
      </c>
      <c r="B54" s="182" t="s">
        <v>219</v>
      </c>
      <c r="C54" s="182"/>
      <c r="D54" s="183">
        <v>70.73</v>
      </c>
    </row>
    <row r="55" spans="1:4" x14ac:dyDescent="0.2">
      <c r="A55" s="180" t="s">
        <v>152</v>
      </c>
      <c r="B55" s="180"/>
      <c r="C55" s="180"/>
      <c r="D55" s="190">
        <f>SUM(D50:D54)</f>
        <v>404.67</v>
      </c>
    </row>
    <row r="58" spans="1:4" x14ac:dyDescent="0.2">
      <c r="A58" s="187" t="s">
        <v>175</v>
      </c>
      <c r="B58" s="187"/>
      <c r="C58" s="187"/>
      <c r="D58" s="187"/>
    </row>
    <row r="60" spans="1:4" x14ac:dyDescent="0.2">
      <c r="A60" s="179">
        <v>2</v>
      </c>
      <c r="B60" s="195" t="s">
        <v>176</v>
      </c>
      <c r="C60" s="195"/>
      <c r="D60" s="179" t="s">
        <v>139</v>
      </c>
    </row>
    <row r="61" spans="1:4" x14ac:dyDescent="0.2">
      <c r="A61" s="181" t="s">
        <v>155</v>
      </c>
      <c r="B61" s="182" t="s">
        <v>156</v>
      </c>
      <c r="C61" s="182"/>
      <c r="D61" s="196">
        <f>D30</f>
        <v>1649.46</v>
      </c>
    </row>
    <row r="62" spans="1:4" x14ac:dyDescent="0.2">
      <c r="A62" s="181" t="s">
        <v>160</v>
      </c>
      <c r="B62" s="182" t="s">
        <v>161</v>
      </c>
      <c r="C62" s="182"/>
      <c r="D62" s="196">
        <f>D44</f>
        <v>3121.7199999999993</v>
      </c>
    </row>
    <row r="63" spans="1:4" x14ac:dyDescent="0.2">
      <c r="A63" s="181" t="s">
        <v>171</v>
      </c>
      <c r="B63" s="182" t="s">
        <v>172</v>
      </c>
      <c r="C63" s="182"/>
      <c r="D63" s="196">
        <f>D55</f>
        <v>404.67</v>
      </c>
    </row>
    <row r="64" spans="1:4" x14ac:dyDescent="0.2">
      <c r="A64" s="180" t="s">
        <v>152</v>
      </c>
      <c r="B64" s="180"/>
      <c r="C64" s="180"/>
      <c r="D64" s="190">
        <f>SUM(D61:D63)</f>
        <v>5175.8499999999995</v>
      </c>
    </row>
    <row r="65" spans="1:5" x14ac:dyDescent="0.2">
      <c r="A65" s="197"/>
    </row>
    <row r="67" spans="1:5" x14ac:dyDescent="0.2">
      <c r="A67" s="185" t="s">
        <v>177</v>
      </c>
      <c r="B67" s="185"/>
      <c r="C67" s="185"/>
      <c r="D67" s="185"/>
    </row>
    <row r="69" spans="1:5" x14ac:dyDescent="0.2">
      <c r="A69" s="179">
        <v>3</v>
      </c>
      <c r="B69" s="195" t="s">
        <v>178</v>
      </c>
      <c r="C69" s="195"/>
      <c r="D69" s="179" t="s">
        <v>139</v>
      </c>
    </row>
    <row r="70" spans="1:5" x14ac:dyDescent="0.2">
      <c r="A70" s="181" t="s">
        <v>140</v>
      </c>
      <c r="B70" s="198" t="s">
        <v>179</v>
      </c>
      <c r="C70" s="192">
        <v>4.1999999999999997E-3</v>
      </c>
      <c r="D70" s="183">
        <f>TRUNC($D$20*C70,2)</f>
        <v>35.619999999999997</v>
      </c>
    </row>
    <row r="71" spans="1:5" x14ac:dyDescent="0.2">
      <c r="A71" s="181" t="s">
        <v>142</v>
      </c>
      <c r="B71" s="198" t="s">
        <v>180</v>
      </c>
      <c r="C71" s="192">
        <v>2.9999999999999997E-4</v>
      </c>
      <c r="D71" s="183">
        <f t="shared" ref="D71:D75" si="1">TRUNC($D$20*C71,2)</f>
        <v>2.54</v>
      </c>
      <c r="E71" s="199"/>
    </row>
    <row r="72" spans="1:5" x14ac:dyDescent="0.2">
      <c r="A72" s="181" t="s">
        <v>144</v>
      </c>
      <c r="B72" s="198" t="s">
        <v>181</v>
      </c>
      <c r="C72" s="192">
        <f>C70*C43</f>
        <v>3.3599999999999998E-4</v>
      </c>
      <c r="D72" s="183">
        <f t="shared" si="1"/>
        <v>2.85</v>
      </c>
    </row>
    <row r="73" spans="1:5" x14ac:dyDescent="0.2">
      <c r="A73" s="181" t="s">
        <v>146</v>
      </c>
      <c r="B73" s="198" t="s">
        <v>182</v>
      </c>
      <c r="C73" s="192">
        <v>1.9400000000000001E-2</v>
      </c>
      <c r="D73" s="183">
        <f t="shared" si="1"/>
        <v>164.57</v>
      </c>
      <c r="E73" s="200"/>
    </row>
    <row r="74" spans="1:5" ht="12.75" customHeight="1" x14ac:dyDescent="0.2">
      <c r="A74" s="181" t="s">
        <v>148</v>
      </c>
      <c r="B74" s="198" t="s">
        <v>183</v>
      </c>
      <c r="C74" s="192">
        <f>C73*C44</f>
        <v>7.1392000000000009E-3</v>
      </c>
      <c r="D74" s="183">
        <f t="shared" si="1"/>
        <v>60.56</v>
      </c>
      <c r="E74" s="199"/>
    </row>
    <row r="75" spans="1:5" x14ac:dyDescent="0.2">
      <c r="A75" s="181" t="s">
        <v>167</v>
      </c>
      <c r="B75" s="198" t="s">
        <v>184</v>
      </c>
      <c r="C75" s="192">
        <v>0.04</v>
      </c>
      <c r="D75" s="183">
        <f t="shared" si="1"/>
        <v>339.32</v>
      </c>
    </row>
    <row r="76" spans="1:5" x14ac:dyDescent="0.2">
      <c r="A76" s="180" t="s">
        <v>152</v>
      </c>
      <c r="B76" s="180"/>
      <c r="C76" s="194">
        <f>SUM(C70:C75)</f>
        <v>7.13752E-2</v>
      </c>
      <c r="D76" s="190">
        <f>SUM(D70:D75)</f>
        <v>605.46</v>
      </c>
    </row>
    <row r="79" spans="1:5" x14ac:dyDescent="0.2">
      <c r="A79" s="185" t="s">
        <v>185</v>
      </c>
      <c r="B79" s="185"/>
      <c r="C79" s="185"/>
      <c r="D79" s="185"/>
    </row>
    <row r="82" spans="1:4" x14ac:dyDescent="0.2">
      <c r="A82" s="187" t="s">
        <v>186</v>
      </c>
      <c r="B82" s="187"/>
      <c r="C82" s="187"/>
      <c r="D82" s="187"/>
    </row>
    <row r="83" spans="1:4" x14ac:dyDescent="0.2">
      <c r="A83" s="186"/>
    </row>
    <row r="84" spans="1:4" x14ac:dyDescent="0.2">
      <c r="A84" s="179" t="s">
        <v>187</v>
      </c>
      <c r="B84" s="195" t="s">
        <v>188</v>
      </c>
      <c r="C84" s="195"/>
      <c r="D84" s="179" t="s">
        <v>139</v>
      </c>
    </row>
    <row r="85" spans="1:4" x14ac:dyDescent="0.2">
      <c r="A85" s="181" t="s">
        <v>140</v>
      </c>
      <c r="B85" s="188" t="s">
        <v>189</v>
      </c>
      <c r="C85" s="192">
        <f>1/12</f>
        <v>8.3333333333333329E-2</v>
      </c>
      <c r="D85" s="183">
        <f>TRUNC($D$20*C85,2)</f>
        <v>706.91</v>
      </c>
    </row>
    <row r="86" spans="1:4" x14ac:dyDescent="0.2">
      <c r="A86" s="181" t="s">
        <v>142</v>
      </c>
      <c r="B86" s="188" t="s">
        <v>190</v>
      </c>
      <c r="C86" s="192">
        <v>2.8E-3</v>
      </c>
      <c r="D86" s="183">
        <f t="shared" ref="D86:D90" si="2">TRUNC($D$20*C86,2)</f>
        <v>23.75</v>
      </c>
    </row>
    <row r="87" spans="1:4" x14ac:dyDescent="0.2">
      <c r="A87" s="181" t="s">
        <v>144</v>
      </c>
      <c r="B87" s="188" t="s">
        <v>191</v>
      </c>
      <c r="C87" s="192">
        <v>2.0000000000000001E-4</v>
      </c>
      <c r="D87" s="183">
        <f t="shared" si="2"/>
        <v>1.69</v>
      </c>
    </row>
    <row r="88" spans="1:4" x14ac:dyDescent="0.2">
      <c r="A88" s="181" t="s">
        <v>146</v>
      </c>
      <c r="B88" s="188" t="s">
        <v>192</v>
      </c>
      <c r="C88" s="192">
        <v>3.3E-3</v>
      </c>
      <c r="D88" s="183">
        <f t="shared" si="2"/>
        <v>27.99</v>
      </c>
    </row>
    <row r="89" spans="1:4" x14ac:dyDescent="0.2">
      <c r="A89" s="181" t="s">
        <v>148</v>
      </c>
      <c r="B89" s="188" t="s">
        <v>193</v>
      </c>
      <c r="C89" s="192">
        <v>6.9999999999999999E-4</v>
      </c>
      <c r="D89" s="183">
        <f t="shared" si="2"/>
        <v>5.93</v>
      </c>
    </row>
    <row r="90" spans="1:4" x14ac:dyDescent="0.2">
      <c r="A90" s="181" t="s">
        <v>167</v>
      </c>
      <c r="B90" s="188" t="s">
        <v>220</v>
      </c>
      <c r="C90" s="192">
        <v>1.3899999999999999E-2</v>
      </c>
      <c r="D90" s="183">
        <f t="shared" si="2"/>
        <v>117.91</v>
      </c>
    </row>
    <row r="91" spans="1:4" x14ac:dyDescent="0.2">
      <c r="A91" s="180" t="s">
        <v>169</v>
      </c>
      <c r="B91" s="180"/>
      <c r="C91" s="180"/>
      <c r="D91" s="190">
        <f>SUM(D85:D90)</f>
        <v>884.18</v>
      </c>
    </row>
    <row r="94" spans="1:4" x14ac:dyDescent="0.2">
      <c r="A94" s="187" t="s">
        <v>194</v>
      </c>
      <c r="B94" s="187"/>
      <c r="C94" s="187"/>
      <c r="D94" s="187"/>
    </row>
    <row r="95" spans="1:4" x14ac:dyDescent="0.2">
      <c r="A95" s="186"/>
    </row>
    <row r="96" spans="1:4" x14ac:dyDescent="0.2">
      <c r="A96" s="179" t="s">
        <v>195</v>
      </c>
      <c r="B96" s="195" t="s">
        <v>196</v>
      </c>
      <c r="C96" s="195"/>
      <c r="D96" s="179" t="s">
        <v>139</v>
      </c>
    </row>
    <row r="97" spans="1:6" x14ac:dyDescent="0.2">
      <c r="A97" s="181" t="s">
        <v>140</v>
      </c>
      <c r="B97" s="201" t="s">
        <v>197</v>
      </c>
      <c r="C97" s="202"/>
      <c r="D97" s="183">
        <f>((D20+D64+D76)/220)*22*0</f>
        <v>0</v>
      </c>
      <c r="E97" s="200"/>
      <c r="F97" s="200"/>
    </row>
    <row r="98" spans="1:6" x14ac:dyDescent="0.2">
      <c r="A98" s="180" t="s">
        <v>152</v>
      </c>
      <c r="B98" s="180"/>
      <c r="C98" s="180"/>
      <c r="D98" s="190">
        <f>SUM(D97)</f>
        <v>0</v>
      </c>
    </row>
    <row r="101" spans="1:6" x14ac:dyDescent="0.2">
      <c r="A101" s="187" t="s">
        <v>198</v>
      </c>
      <c r="B101" s="187"/>
      <c r="C101" s="187"/>
      <c r="D101" s="187"/>
    </row>
    <row r="102" spans="1:6" x14ac:dyDescent="0.2">
      <c r="A102" s="186"/>
    </row>
    <row r="103" spans="1:6" x14ac:dyDescent="0.2">
      <c r="A103" s="179">
        <v>4</v>
      </c>
      <c r="B103" s="180" t="s">
        <v>199</v>
      </c>
      <c r="C103" s="180"/>
      <c r="D103" s="179" t="s">
        <v>139</v>
      </c>
    </row>
    <row r="104" spans="1:6" x14ac:dyDescent="0.2">
      <c r="A104" s="181" t="s">
        <v>187</v>
      </c>
      <c r="B104" s="182" t="s">
        <v>188</v>
      </c>
      <c r="C104" s="182"/>
      <c r="D104" s="196">
        <f>D91</f>
        <v>884.18</v>
      </c>
    </row>
    <row r="105" spans="1:6" x14ac:dyDescent="0.2">
      <c r="A105" s="181" t="s">
        <v>195</v>
      </c>
      <c r="B105" s="182" t="s">
        <v>196</v>
      </c>
      <c r="C105" s="182"/>
      <c r="D105" s="196">
        <f>D98</f>
        <v>0</v>
      </c>
    </row>
    <row r="106" spans="1:6" x14ac:dyDescent="0.2">
      <c r="A106" s="180" t="s">
        <v>152</v>
      </c>
      <c r="B106" s="180"/>
      <c r="C106" s="180"/>
      <c r="D106" s="190">
        <f>SUM(D104:D105)</f>
        <v>884.18</v>
      </c>
    </row>
    <row r="109" spans="1:6" x14ac:dyDescent="0.2">
      <c r="A109" s="185" t="s">
        <v>200</v>
      </c>
      <c r="B109" s="185"/>
      <c r="C109" s="185"/>
      <c r="D109" s="185"/>
    </row>
    <row r="111" spans="1:6" x14ac:dyDescent="0.2">
      <c r="A111" s="179">
        <v>5</v>
      </c>
      <c r="B111" s="203" t="s">
        <v>201</v>
      </c>
      <c r="C111" s="203"/>
      <c r="D111" s="179" t="s">
        <v>139</v>
      </c>
    </row>
    <row r="112" spans="1:6" x14ac:dyDescent="0.2">
      <c r="A112" s="181" t="s">
        <v>140</v>
      </c>
      <c r="B112" s="188" t="s">
        <v>1</v>
      </c>
      <c r="C112" s="188"/>
      <c r="D112" s="183">
        <v>0</v>
      </c>
    </row>
    <row r="113" spans="1:4" x14ac:dyDescent="0.2">
      <c r="A113" s="181" t="s">
        <v>142</v>
      </c>
      <c r="B113" s="188" t="s">
        <v>202</v>
      </c>
      <c r="C113" s="188"/>
      <c r="D113" s="183">
        <v>0</v>
      </c>
    </row>
    <row r="114" spans="1:4" x14ac:dyDescent="0.2">
      <c r="A114" s="181" t="s">
        <v>144</v>
      </c>
      <c r="B114" s="188" t="s">
        <v>2</v>
      </c>
      <c r="C114" s="188"/>
      <c r="D114" s="183">
        <v>7.05</v>
      </c>
    </row>
    <row r="115" spans="1:4" x14ac:dyDescent="0.2">
      <c r="A115" s="181" t="s">
        <v>146</v>
      </c>
      <c r="B115" s="188" t="s">
        <v>36</v>
      </c>
      <c r="C115" s="188"/>
      <c r="D115" s="183">
        <v>200</v>
      </c>
    </row>
    <row r="116" spans="1:4" x14ac:dyDescent="0.2">
      <c r="A116" s="180" t="s">
        <v>169</v>
      </c>
      <c r="B116" s="180"/>
      <c r="C116" s="180"/>
      <c r="D116" s="184">
        <f>SUM(D112:D115)</f>
        <v>207.05</v>
      </c>
    </row>
    <row r="119" spans="1:4" x14ac:dyDescent="0.2">
      <c r="A119" s="185" t="s">
        <v>203</v>
      </c>
      <c r="B119" s="185"/>
      <c r="C119" s="185"/>
      <c r="D119" s="185"/>
    </row>
    <row r="121" spans="1:4" x14ac:dyDescent="0.2">
      <c r="A121" s="179">
        <v>6</v>
      </c>
      <c r="B121" s="204" t="s">
        <v>204</v>
      </c>
      <c r="C121" s="179" t="s">
        <v>162</v>
      </c>
      <c r="D121" s="179" t="s">
        <v>139</v>
      </c>
    </row>
    <row r="122" spans="1:4" x14ac:dyDescent="0.2">
      <c r="A122" s="181" t="s">
        <v>140</v>
      </c>
      <c r="B122" s="188" t="s">
        <v>205</v>
      </c>
      <c r="C122" s="192">
        <v>7.6999999999999999E-2</v>
      </c>
      <c r="D122" s="196">
        <f>D139*C122</f>
        <v>1182.3765799999999</v>
      </c>
    </row>
    <row r="123" spans="1:4" x14ac:dyDescent="0.2">
      <c r="A123" s="181" t="s">
        <v>142</v>
      </c>
      <c r="B123" s="188" t="s">
        <v>206</v>
      </c>
      <c r="C123" s="192">
        <v>0.06</v>
      </c>
      <c r="D123" s="183">
        <f>(D139+D122)*C123</f>
        <v>992.27499479999983</v>
      </c>
    </row>
    <row r="124" spans="1:4" x14ac:dyDescent="0.2">
      <c r="A124" s="181" t="s">
        <v>144</v>
      </c>
      <c r="B124" s="188" t="s">
        <v>207</v>
      </c>
      <c r="C124" s="189">
        <f>SUM(C125:C127)</f>
        <v>8.6499999999999994E-2</v>
      </c>
      <c r="D124" s="183">
        <f>(D139+D122+D123)*C124/(1-C124)</f>
        <v>1659.9469854627253</v>
      </c>
    </row>
    <row r="125" spans="1:4" x14ac:dyDescent="0.2">
      <c r="A125" s="181"/>
      <c r="B125" s="188" t="s">
        <v>208</v>
      </c>
      <c r="C125" s="192">
        <v>3.6499999999999998E-2</v>
      </c>
      <c r="D125" s="196">
        <f>$D$141*C125</f>
        <v>700.4400574495894</v>
      </c>
    </row>
    <row r="126" spans="1:4" x14ac:dyDescent="0.2">
      <c r="A126" s="181"/>
      <c r="B126" s="188" t="s">
        <v>209</v>
      </c>
      <c r="C126" s="181"/>
      <c r="D126" s="196">
        <f t="shared" ref="D126:D127" si="3">$D$141*C126</f>
        <v>0</v>
      </c>
    </row>
    <row r="127" spans="1:4" x14ac:dyDescent="0.2">
      <c r="A127" s="181"/>
      <c r="B127" s="188" t="s">
        <v>210</v>
      </c>
      <c r="C127" s="192">
        <v>0.05</v>
      </c>
      <c r="D127" s="196">
        <f t="shared" si="3"/>
        <v>959.50692801313619</v>
      </c>
    </row>
    <row r="128" spans="1:4" ht="13.5" x14ac:dyDescent="0.2">
      <c r="A128" s="205" t="s">
        <v>169</v>
      </c>
      <c r="B128" s="206"/>
      <c r="C128" s="207">
        <f>(1+C123)*(1+C122)/(1-C124)-1</f>
        <v>0.24972085385878495</v>
      </c>
      <c r="D128" s="190">
        <f>SUM(D122:D124)</f>
        <v>3834.5985602627252</v>
      </c>
    </row>
    <row r="131" spans="1:4" x14ac:dyDescent="0.2">
      <c r="A131" s="185" t="s">
        <v>211</v>
      </c>
      <c r="B131" s="185"/>
      <c r="C131" s="185"/>
      <c r="D131" s="185"/>
    </row>
    <row r="133" spans="1:4" x14ac:dyDescent="0.2">
      <c r="A133" s="179"/>
      <c r="B133" s="180" t="s">
        <v>212</v>
      </c>
      <c r="C133" s="180"/>
      <c r="D133" s="179" t="s">
        <v>139</v>
      </c>
    </row>
    <row r="134" spans="1:4" x14ac:dyDescent="0.2">
      <c r="A134" s="179" t="s">
        <v>140</v>
      </c>
      <c r="B134" s="182" t="s">
        <v>137</v>
      </c>
      <c r="C134" s="182"/>
      <c r="D134" s="208">
        <f>D20</f>
        <v>8483</v>
      </c>
    </row>
    <row r="135" spans="1:4" x14ac:dyDescent="0.2">
      <c r="A135" s="179" t="s">
        <v>142</v>
      </c>
      <c r="B135" s="182" t="s">
        <v>153</v>
      </c>
      <c r="C135" s="182"/>
      <c r="D135" s="208">
        <f>D64</f>
        <v>5175.8499999999995</v>
      </c>
    </row>
    <row r="136" spans="1:4" x14ac:dyDescent="0.2">
      <c r="A136" s="179" t="s">
        <v>144</v>
      </c>
      <c r="B136" s="182" t="s">
        <v>177</v>
      </c>
      <c r="C136" s="182"/>
      <c r="D136" s="208">
        <f>D76</f>
        <v>605.46</v>
      </c>
    </row>
    <row r="137" spans="1:4" x14ac:dyDescent="0.2">
      <c r="A137" s="179" t="s">
        <v>146</v>
      </c>
      <c r="B137" s="182" t="s">
        <v>185</v>
      </c>
      <c r="C137" s="182"/>
      <c r="D137" s="208">
        <f>D106</f>
        <v>884.18</v>
      </c>
    </row>
    <row r="138" spans="1:4" x14ac:dyDescent="0.2">
      <c r="A138" s="179" t="s">
        <v>148</v>
      </c>
      <c r="B138" s="182" t="s">
        <v>200</v>
      </c>
      <c r="C138" s="182"/>
      <c r="D138" s="208">
        <f>D116</f>
        <v>207.05</v>
      </c>
    </row>
    <row r="139" spans="1:4" x14ac:dyDescent="0.2">
      <c r="A139" s="180" t="s">
        <v>213</v>
      </c>
      <c r="B139" s="180"/>
      <c r="C139" s="180"/>
      <c r="D139" s="209">
        <f>SUM(D134:D138)</f>
        <v>15355.539999999997</v>
      </c>
    </row>
    <row r="140" spans="1:4" x14ac:dyDescent="0.2">
      <c r="A140" s="179" t="s">
        <v>167</v>
      </c>
      <c r="B140" s="182" t="s">
        <v>214</v>
      </c>
      <c r="C140" s="182"/>
      <c r="D140" s="210">
        <f>D128</f>
        <v>3834.5985602627252</v>
      </c>
    </row>
    <row r="141" spans="1:4" x14ac:dyDescent="0.2">
      <c r="A141" s="180" t="s">
        <v>215</v>
      </c>
      <c r="B141" s="180"/>
      <c r="C141" s="180"/>
      <c r="D141" s="209">
        <f>SUM(D139:D140)</f>
        <v>19190.138560262723</v>
      </c>
    </row>
  </sheetData>
  <mergeCells count="67">
    <mergeCell ref="B136:C136"/>
    <mergeCell ref="B137:C137"/>
    <mergeCell ref="B138:C138"/>
    <mergeCell ref="A139:C139"/>
    <mergeCell ref="B140:C140"/>
    <mergeCell ref="A141:C141"/>
    <mergeCell ref="A119:D119"/>
    <mergeCell ref="A128:B128"/>
    <mergeCell ref="A131:D131"/>
    <mergeCell ref="B133:C133"/>
    <mergeCell ref="B134:C134"/>
    <mergeCell ref="B135:C135"/>
    <mergeCell ref="B104:C104"/>
    <mergeCell ref="B105:C105"/>
    <mergeCell ref="A106:C106"/>
    <mergeCell ref="A109:D109"/>
    <mergeCell ref="B111:C111"/>
    <mergeCell ref="A116:C116"/>
    <mergeCell ref="A94:D94"/>
    <mergeCell ref="B96:C96"/>
    <mergeCell ref="B97:C97"/>
    <mergeCell ref="A98:C98"/>
    <mergeCell ref="A101:D101"/>
    <mergeCell ref="B103:C103"/>
    <mergeCell ref="B69:C69"/>
    <mergeCell ref="A76:B76"/>
    <mergeCell ref="A79:D79"/>
    <mergeCell ref="A82:D82"/>
    <mergeCell ref="B84:C84"/>
    <mergeCell ref="A91:C91"/>
    <mergeCell ref="B60:C60"/>
    <mergeCell ref="B61:C61"/>
    <mergeCell ref="B62:C62"/>
    <mergeCell ref="B63:C63"/>
    <mergeCell ref="A64:C64"/>
    <mergeCell ref="A67:D67"/>
    <mergeCell ref="B50:C50"/>
    <mergeCell ref="B51:C51"/>
    <mergeCell ref="B52:C52"/>
    <mergeCell ref="B54:C54"/>
    <mergeCell ref="A55:C55"/>
    <mergeCell ref="A58:D58"/>
    <mergeCell ref="B53:C53"/>
    <mergeCell ref="B27:C27"/>
    <mergeCell ref="A30:C30"/>
    <mergeCell ref="A33:D33"/>
    <mergeCell ref="A44:B44"/>
    <mergeCell ref="A47:D47"/>
    <mergeCell ref="B49:C49"/>
    <mergeCell ref="B17:C17"/>
    <mergeCell ref="B18:C18"/>
    <mergeCell ref="B19:C19"/>
    <mergeCell ref="A20:C20"/>
    <mergeCell ref="A23:D23"/>
    <mergeCell ref="A25:D25"/>
    <mergeCell ref="A10:D10"/>
    <mergeCell ref="B12:C12"/>
    <mergeCell ref="B13:C13"/>
    <mergeCell ref="B14:C14"/>
    <mergeCell ref="B15:C15"/>
    <mergeCell ref="B16:C16"/>
    <mergeCell ref="A1:D1"/>
    <mergeCell ref="A3:D3"/>
    <mergeCell ref="C5:D5"/>
    <mergeCell ref="C6:D6"/>
    <mergeCell ref="C7:D7"/>
    <mergeCell ref="C8:D8"/>
  </mergeCells>
  <pageMargins left="0.511811024" right="0.511811024" top="0.78740157499999996" bottom="0.78740157499999996" header="0.31496062000000002" footer="0.31496062000000002"/>
  <pageSetup paperSize="9" scale="91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"/>
  <sheetViews>
    <sheetView view="pageBreakPreview" zoomScale="90" zoomScaleNormal="100" zoomScaleSheetLayoutView="90" workbookViewId="0">
      <selection activeCell="B11" sqref="B11"/>
    </sheetView>
  </sheetViews>
  <sheetFormatPr defaultRowHeight="12.75" x14ac:dyDescent="0.2"/>
  <cols>
    <col min="1" max="1" width="68.6640625" style="16" customWidth="1"/>
    <col min="2" max="2" width="34" style="16" customWidth="1"/>
    <col min="3" max="3" width="11.83203125" style="16" bestFit="1" customWidth="1"/>
    <col min="4" max="16384" width="9.33203125" style="16"/>
  </cols>
  <sheetData>
    <row r="1" spans="1:16" ht="79.5" customHeight="1" x14ac:dyDescent="0.2">
      <c r="A1" s="171"/>
      <c r="B1" s="171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</row>
    <row r="2" spans="1:16" ht="24" customHeight="1" x14ac:dyDescent="0.25">
      <c r="A2" s="172" t="s">
        <v>83</v>
      </c>
      <c r="B2" s="172"/>
    </row>
    <row r="3" spans="1:16" ht="18" x14ac:dyDescent="0.25">
      <c r="A3" s="24"/>
      <c r="B3" s="24"/>
    </row>
    <row r="4" spans="1:16" ht="28.5" customHeight="1" x14ac:dyDescent="0.2"/>
    <row r="5" spans="1:16" s="17" customFormat="1" ht="18" customHeight="1" x14ac:dyDescent="0.2">
      <c r="A5" s="23" t="s">
        <v>82</v>
      </c>
      <c r="B5" s="22">
        <f>'Deslocamento 1 município'!Q39</f>
        <v>560.39371771741537</v>
      </c>
    </row>
    <row r="6" spans="1:16" s="17" customFormat="1" ht="18" customHeight="1" x14ac:dyDescent="0.2">
      <c r="A6" s="23" t="s">
        <v>81</v>
      </c>
      <c r="B6" s="22">
        <f>'Deslocamento 2 municípios'!Q48</f>
        <v>574.47753836076242</v>
      </c>
    </row>
    <row r="7" spans="1:16" s="17" customFormat="1" ht="18" customHeight="1" x14ac:dyDescent="0.2">
      <c r="A7" s="23" t="s">
        <v>80</v>
      </c>
      <c r="B7" s="22">
        <f>'Deslocamento 3 municípios'!Q46</f>
        <v>560.12373082742283</v>
      </c>
    </row>
    <row r="8" spans="1:16" s="17" customFormat="1" ht="18" customHeight="1" x14ac:dyDescent="0.2">
      <c r="A8" s="23" t="s">
        <v>79</v>
      </c>
      <c r="B8" s="22">
        <f>'Deslocamento 4 municípios'!Q42</f>
        <v>542.98701664215184</v>
      </c>
    </row>
    <row r="9" spans="1:16" s="17" customFormat="1" ht="18" customHeight="1" x14ac:dyDescent="0.2">
      <c r="A9" s="23" t="s">
        <v>78</v>
      </c>
      <c r="B9" s="22">
        <f>'Deslocamento 5 municípios'!Q39</f>
        <v>528.70413242336224</v>
      </c>
    </row>
    <row r="10" spans="1:16" s="17" customFormat="1" ht="18" customHeight="1" x14ac:dyDescent="0.2">
      <c r="A10" s="21"/>
      <c r="B10" s="20">
        <f>SUM(B5:B9)</f>
        <v>2766.6861359711147</v>
      </c>
    </row>
    <row r="11" spans="1:16" s="17" customFormat="1" ht="48" customHeight="1" x14ac:dyDescent="0.2">
      <c r="A11" s="19" t="s">
        <v>77</v>
      </c>
      <c r="B11" s="18">
        <f>B10/5</f>
        <v>553.33722719422292</v>
      </c>
      <c r="C11" s="35"/>
    </row>
  </sheetData>
  <mergeCells count="2">
    <mergeCell ref="A1:B1"/>
    <mergeCell ref="A2:B2"/>
  </mergeCells>
  <pageMargins left="0.51181102362204722" right="0.51181102362204722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7"/>
  <sheetViews>
    <sheetView view="pageBreakPreview" zoomScaleNormal="100" zoomScaleSheetLayoutView="100" workbookViewId="0">
      <selection activeCell="C7" sqref="C7"/>
    </sheetView>
  </sheetViews>
  <sheetFormatPr defaultRowHeight="12.75" x14ac:dyDescent="0.2"/>
  <cols>
    <col min="1" max="1" width="65" style="16" customWidth="1"/>
    <col min="2" max="2" width="22.83203125" style="16" customWidth="1"/>
    <col min="3" max="3" width="21.6640625" style="16" customWidth="1"/>
    <col min="4" max="4" width="13.33203125" style="16" bestFit="1" customWidth="1"/>
    <col min="5" max="5" width="16.6640625" style="16" bestFit="1" customWidth="1"/>
    <col min="6" max="16384" width="9.33203125" style="16"/>
  </cols>
  <sheetData>
    <row r="3" spans="1:5" x14ac:dyDescent="0.2">
      <c r="B3" s="30" t="s">
        <v>88</v>
      </c>
      <c r="C3" s="30" t="s">
        <v>12</v>
      </c>
    </row>
    <row r="4" spans="1:5" ht="15.75" x14ac:dyDescent="0.2">
      <c r="A4" s="28" t="s">
        <v>87</v>
      </c>
      <c r="B4" s="27">
        <v>5</v>
      </c>
      <c r="C4" s="26">
        <f>B4*(ROUND((DESLOC.MÉDIO!$B$11),2))</f>
        <v>2766.7000000000003</v>
      </c>
    </row>
    <row r="5" spans="1:5" ht="31.5" x14ac:dyDescent="0.2">
      <c r="A5" s="28" t="s">
        <v>86</v>
      </c>
      <c r="B5" s="27">
        <f>B4*4</f>
        <v>20</v>
      </c>
      <c r="C5" s="26">
        <f>B5*(ROUND((DESLOC.MÉDIO!$B$11),2))</f>
        <v>11066.800000000001</v>
      </c>
      <c r="D5" s="128"/>
    </row>
    <row r="6" spans="1:5" ht="15.75" x14ac:dyDescent="0.2">
      <c r="A6" s="28" t="s">
        <v>85</v>
      </c>
      <c r="B6" s="27">
        <f>B4*12</f>
        <v>60</v>
      </c>
      <c r="C6" s="26">
        <f>B6*(ROUND((DESLOC.MÉDIO!$B$11),2))</f>
        <v>33200.400000000001</v>
      </c>
      <c r="D6" s="128"/>
      <c r="E6" s="29"/>
    </row>
    <row r="7" spans="1:5" ht="15.75" x14ac:dyDescent="0.2">
      <c r="A7" s="28" t="s">
        <v>84</v>
      </c>
      <c r="B7" s="27">
        <f>B6*4</f>
        <v>240</v>
      </c>
      <c r="C7" s="26">
        <f>B7*(ROUND((DESLOC.MÉDIO!$B$11),2))</f>
        <v>132801.60000000001</v>
      </c>
      <c r="D7" s="128"/>
    </row>
  </sheetData>
  <pageMargins left="0.511811024" right="0.511811024" top="0.78740157499999996" bottom="0.78740157499999996" header="0.31496062000000002" footer="0.31496062000000002"/>
  <pageSetup paperSize="9" scale="9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5"/>
  <sheetViews>
    <sheetView workbookViewId="0">
      <selection activeCell="C35" sqref="C35"/>
    </sheetView>
  </sheetViews>
  <sheetFormatPr defaultRowHeight="12.75" x14ac:dyDescent="0.2"/>
  <cols>
    <col min="1" max="1" width="9.33203125" style="16"/>
    <col min="2" max="2" width="31.5" style="16" customWidth="1"/>
    <col min="3" max="3" width="15.33203125" style="16" customWidth="1"/>
    <col min="4" max="16384" width="9.33203125" style="16"/>
  </cols>
  <sheetData>
    <row r="3" spans="2:3" x14ac:dyDescent="0.2">
      <c r="B3" s="34" t="s">
        <v>121</v>
      </c>
    </row>
    <row r="5" spans="2:3" x14ac:dyDescent="0.2">
      <c r="B5" s="33" t="s">
        <v>120</v>
      </c>
      <c r="C5" s="33" t="s">
        <v>119</v>
      </c>
    </row>
    <row r="6" spans="2:3" x14ac:dyDescent="0.2">
      <c r="B6" s="33" t="s">
        <v>118</v>
      </c>
      <c r="C6" s="32">
        <v>4.4180000000000001</v>
      </c>
    </row>
    <row r="7" spans="2:3" x14ac:dyDescent="0.2">
      <c r="B7" s="33" t="s">
        <v>117</v>
      </c>
      <c r="C7" s="32">
        <v>4.4800000000000004</v>
      </c>
    </row>
    <row r="8" spans="2:3" x14ac:dyDescent="0.2">
      <c r="B8" s="33" t="s">
        <v>116</v>
      </c>
      <c r="C8" s="32">
        <v>4.4950000000000001</v>
      </c>
    </row>
    <row r="9" spans="2:3" x14ac:dyDescent="0.2">
      <c r="B9" s="33" t="s">
        <v>115</v>
      </c>
      <c r="C9" s="32">
        <v>4.5599999999999996</v>
      </c>
    </row>
    <row r="10" spans="2:3" x14ac:dyDescent="0.2">
      <c r="B10" s="33" t="s">
        <v>114</v>
      </c>
      <c r="C10" s="32">
        <v>4.5709999999999997</v>
      </c>
    </row>
    <row r="11" spans="2:3" x14ac:dyDescent="0.2">
      <c r="B11" s="33" t="s">
        <v>113</v>
      </c>
      <c r="C11" s="32">
        <v>4.6020000000000003</v>
      </c>
    </row>
    <row r="12" spans="2:3" x14ac:dyDescent="0.2">
      <c r="B12" s="33" t="s">
        <v>112</v>
      </c>
      <c r="C12" s="32">
        <v>4.6029999999999998</v>
      </c>
    </row>
    <row r="13" spans="2:3" x14ac:dyDescent="0.2">
      <c r="B13" s="33" t="s">
        <v>111</v>
      </c>
      <c r="C13" s="32">
        <v>4.609</v>
      </c>
    </row>
    <row r="14" spans="2:3" x14ac:dyDescent="0.2">
      <c r="B14" s="33" t="s">
        <v>110</v>
      </c>
      <c r="C14" s="32">
        <v>4.6109999999999998</v>
      </c>
    </row>
    <row r="15" spans="2:3" x14ac:dyDescent="0.2">
      <c r="B15" s="33" t="s">
        <v>109</v>
      </c>
      <c r="C15" s="32">
        <v>4.6239999999999997</v>
      </c>
    </row>
    <row r="16" spans="2:3" x14ac:dyDescent="0.2">
      <c r="B16" s="33" t="s">
        <v>108</v>
      </c>
      <c r="C16" s="32">
        <v>4.6289999999999996</v>
      </c>
    </row>
    <row r="17" spans="2:3" x14ac:dyDescent="0.2">
      <c r="B17" s="33" t="s">
        <v>107</v>
      </c>
      <c r="C17" s="32">
        <v>4.6360000000000001</v>
      </c>
    </row>
    <row r="18" spans="2:3" x14ac:dyDescent="0.2">
      <c r="B18" s="33" t="s">
        <v>106</v>
      </c>
      <c r="C18" s="32">
        <v>4.6429999999999998</v>
      </c>
    </row>
    <row r="19" spans="2:3" x14ac:dyDescent="0.2">
      <c r="B19" s="33" t="s">
        <v>105</v>
      </c>
      <c r="C19" s="32">
        <v>4.6449999999999996</v>
      </c>
    </row>
    <row r="20" spans="2:3" x14ac:dyDescent="0.2">
      <c r="B20" s="33" t="s">
        <v>104</v>
      </c>
      <c r="C20" s="32">
        <v>4.6900000000000004</v>
      </c>
    </row>
    <row r="21" spans="2:3" x14ac:dyDescent="0.2">
      <c r="B21" s="33" t="s">
        <v>103</v>
      </c>
      <c r="C21" s="32">
        <v>4.7169999999999996</v>
      </c>
    </row>
    <row r="22" spans="2:3" x14ac:dyDescent="0.2">
      <c r="B22" s="33" t="s">
        <v>102</v>
      </c>
      <c r="C22" s="32">
        <v>4.7300000000000004</v>
      </c>
    </row>
    <row r="23" spans="2:3" x14ac:dyDescent="0.2">
      <c r="B23" s="33" t="s">
        <v>101</v>
      </c>
      <c r="C23" s="32">
        <v>4.7320000000000002</v>
      </c>
    </row>
    <row r="24" spans="2:3" x14ac:dyDescent="0.2">
      <c r="B24" s="33" t="s">
        <v>100</v>
      </c>
      <c r="C24" s="32">
        <v>4.7750000000000004</v>
      </c>
    </row>
    <row r="25" spans="2:3" x14ac:dyDescent="0.2">
      <c r="B25" s="33" t="s">
        <v>99</v>
      </c>
      <c r="C25" s="32">
        <v>4.7930000000000001</v>
      </c>
    </row>
    <row r="26" spans="2:3" x14ac:dyDescent="0.2">
      <c r="B26" s="33" t="s">
        <v>98</v>
      </c>
      <c r="C26" s="32">
        <v>4.7969999999999997</v>
      </c>
    </row>
    <row r="27" spans="2:3" x14ac:dyDescent="0.2">
      <c r="B27" s="33" t="s">
        <v>97</v>
      </c>
      <c r="C27" s="32">
        <v>4.798</v>
      </c>
    </row>
    <row r="28" spans="2:3" x14ac:dyDescent="0.2">
      <c r="B28" s="33" t="s">
        <v>96</v>
      </c>
      <c r="C28" s="32">
        <v>4.806</v>
      </c>
    </row>
    <row r="29" spans="2:3" x14ac:dyDescent="0.2">
      <c r="B29" s="33" t="s">
        <v>95</v>
      </c>
      <c r="C29" s="32">
        <v>4.851</v>
      </c>
    </row>
    <row r="30" spans="2:3" x14ac:dyDescent="0.2">
      <c r="B30" s="33" t="s">
        <v>94</v>
      </c>
      <c r="C30" s="32">
        <v>4.8650000000000002</v>
      </c>
    </row>
    <row r="31" spans="2:3" x14ac:dyDescent="0.2">
      <c r="B31" s="33" t="s">
        <v>93</v>
      </c>
      <c r="C31" s="32">
        <v>4.8890000000000002</v>
      </c>
    </row>
    <row r="32" spans="2:3" x14ac:dyDescent="0.2">
      <c r="B32" s="33" t="s">
        <v>92</v>
      </c>
      <c r="C32" s="32">
        <v>4.9390000000000001</v>
      </c>
    </row>
    <row r="33" spans="2:3" x14ac:dyDescent="0.2">
      <c r="B33" s="33" t="s">
        <v>91</v>
      </c>
      <c r="C33" s="32">
        <v>4.9580000000000002</v>
      </c>
    </row>
    <row r="34" spans="2:3" x14ac:dyDescent="0.2">
      <c r="B34" s="33" t="s">
        <v>90</v>
      </c>
      <c r="C34" s="32">
        <v>4.9909999999999997</v>
      </c>
    </row>
    <row r="35" spans="2:3" x14ac:dyDescent="0.2">
      <c r="B35" s="30" t="s">
        <v>89</v>
      </c>
      <c r="C35" s="31">
        <f>AVERAGE(C6:C34)</f>
        <v>4.7054137931034479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3"/>
  <sheetViews>
    <sheetView view="pageBreakPreview" topLeftCell="A7" zoomScaleNormal="100" zoomScaleSheetLayoutView="100" workbookViewId="0">
      <selection activeCell="F13" sqref="F13"/>
    </sheetView>
  </sheetViews>
  <sheetFormatPr defaultRowHeight="12.75" x14ac:dyDescent="0.2"/>
  <cols>
    <col min="2" max="2" width="34.83203125" customWidth="1"/>
    <col min="4" max="4" width="14.6640625" customWidth="1"/>
    <col min="6" max="6" width="12.83203125" customWidth="1"/>
  </cols>
  <sheetData>
    <row r="3" spans="1:6" x14ac:dyDescent="0.2">
      <c r="B3" s="2" t="s">
        <v>7</v>
      </c>
    </row>
    <row r="5" spans="1:6" ht="36" x14ac:dyDescent="0.2">
      <c r="A5" s="3" t="s">
        <v>8</v>
      </c>
      <c r="B5" s="3" t="s">
        <v>0</v>
      </c>
      <c r="C5" s="3" t="s">
        <v>9</v>
      </c>
      <c r="D5" s="3" t="s">
        <v>10</v>
      </c>
      <c r="E5" s="3" t="s">
        <v>11</v>
      </c>
      <c r="F5" s="3" t="s">
        <v>12</v>
      </c>
    </row>
    <row r="6" spans="1:6" ht="51.75" customHeight="1" x14ac:dyDescent="0.2">
      <c r="A6" s="4">
        <v>1</v>
      </c>
      <c r="B6" s="4" t="s">
        <v>13</v>
      </c>
      <c r="C6" s="4" t="s">
        <v>14</v>
      </c>
      <c r="D6" s="4">
        <v>1</v>
      </c>
      <c r="E6" s="4">
        <v>12892</v>
      </c>
      <c r="F6" s="4">
        <v>8.91</v>
      </c>
    </row>
    <row r="7" spans="1:6" ht="58.5" customHeight="1" x14ac:dyDescent="0.2">
      <c r="A7" s="4">
        <v>3</v>
      </c>
      <c r="B7" s="4" t="s">
        <v>15</v>
      </c>
      <c r="C7" s="4" t="s">
        <v>9</v>
      </c>
      <c r="D7" s="4">
        <v>1</v>
      </c>
      <c r="E7" s="4">
        <v>12894</v>
      </c>
      <c r="F7" s="4">
        <v>12.87</v>
      </c>
    </row>
    <row r="8" spans="1:6" ht="73.5" customHeight="1" x14ac:dyDescent="0.2">
      <c r="A8" s="4">
        <v>4</v>
      </c>
      <c r="B8" s="4" t="s">
        <v>16</v>
      </c>
      <c r="C8" s="4" t="s">
        <v>9</v>
      </c>
      <c r="D8" s="4">
        <v>1</v>
      </c>
      <c r="E8" s="4">
        <v>12895</v>
      </c>
      <c r="F8" s="4">
        <v>9.9</v>
      </c>
    </row>
    <row r="9" spans="1:6" ht="66" customHeight="1" x14ac:dyDescent="0.2">
      <c r="A9" s="4">
        <v>5</v>
      </c>
      <c r="B9" s="4" t="s">
        <v>17</v>
      </c>
      <c r="C9" s="4" t="s">
        <v>9</v>
      </c>
      <c r="D9" s="4">
        <v>1</v>
      </c>
      <c r="E9" s="4">
        <v>36142</v>
      </c>
      <c r="F9" s="4">
        <v>1.48</v>
      </c>
    </row>
    <row r="10" spans="1:6" ht="70.5" customHeight="1" x14ac:dyDescent="0.2">
      <c r="A10" s="4">
        <v>6</v>
      </c>
      <c r="B10" s="4" t="s">
        <v>18</v>
      </c>
      <c r="C10" s="4" t="s">
        <v>9</v>
      </c>
      <c r="D10" s="4">
        <v>1</v>
      </c>
      <c r="E10" s="4">
        <v>36148</v>
      </c>
      <c r="F10" s="4">
        <v>47.52</v>
      </c>
    </row>
    <row r="11" spans="1:6" ht="71.25" customHeight="1" x14ac:dyDescent="0.2">
      <c r="A11" s="4">
        <v>7</v>
      </c>
      <c r="B11" s="4" t="s">
        <v>19</v>
      </c>
      <c r="C11" s="4" t="s">
        <v>9</v>
      </c>
      <c r="D11" s="4">
        <v>1</v>
      </c>
      <c r="E11" s="4">
        <v>36152</v>
      </c>
      <c r="F11" s="4">
        <v>3.86</v>
      </c>
    </row>
    <row r="12" spans="1:6" ht="20.25" customHeight="1" x14ac:dyDescent="0.2">
      <c r="A12" s="143" t="s">
        <v>20</v>
      </c>
      <c r="B12" s="143"/>
      <c r="C12" s="143"/>
      <c r="D12" s="143"/>
      <c r="E12" s="143"/>
      <c r="F12" s="5">
        <f>SUM(F6:F11)</f>
        <v>84.54</v>
      </c>
    </row>
    <row r="13" spans="1:6" ht="18.75" customHeight="1" x14ac:dyDescent="0.2">
      <c r="A13" s="144" t="s">
        <v>21</v>
      </c>
      <c r="B13" s="145"/>
      <c r="C13" s="145"/>
      <c r="D13" s="145"/>
      <c r="E13" s="146"/>
      <c r="F13" s="15">
        <f>F12/12</f>
        <v>7.0450000000000008</v>
      </c>
    </row>
  </sheetData>
  <mergeCells count="2">
    <mergeCell ref="A12:E12"/>
    <mergeCell ref="A13:E1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9"/>
  <sheetViews>
    <sheetView view="pageBreakPreview" zoomScale="110" zoomScaleNormal="100" zoomScaleSheetLayoutView="110" workbookViewId="0">
      <selection activeCell="G9" sqref="G9:H9"/>
    </sheetView>
  </sheetViews>
  <sheetFormatPr defaultRowHeight="12.75" x14ac:dyDescent="0.2"/>
  <cols>
    <col min="1" max="1" width="13.83203125" customWidth="1"/>
    <col min="2" max="2" width="16.6640625" customWidth="1"/>
    <col min="3" max="3" width="10.6640625" customWidth="1"/>
    <col min="4" max="4" width="10.83203125" customWidth="1"/>
    <col min="5" max="5" width="13.5" customWidth="1"/>
    <col min="6" max="6" width="11.6640625" customWidth="1"/>
    <col min="7" max="7" width="12.83203125" customWidth="1"/>
    <col min="8" max="8" width="12" customWidth="1"/>
  </cols>
  <sheetData>
    <row r="4" spans="1:8" x14ac:dyDescent="0.2">
      <c r="A4" s="151" t="s">
        <v>22</v>
      </c>
      <c r="B4" s="149" t="s">
        <v>23</v>
      </c>
      <c r="C4" s="152" t="s">
        <v>24</v>
      </c>
      <c r="D4" s="152"/>
      <c r="E4" s="147" t="s">
        <v>25</v>
      </c>
      <c r="F4" s="147"/>
      <c r="G4" s="147" t="s">
        <v>26</v>
      </c>
      <c r="H4" s="147"/>
    </row>
    <row r="5" spans="1:8" ht="25.5" x14ac:dyDescent="0.2">
      <c r="A5" s="151"/>
      <c r="B5" s="150"/>
      <c r="C5" s="6" t="s">
        <v>27</v>
      </c>
      <c r="D5" s="6" t="s">
        <v>28</v>
      </c>
      <c r="E5" s="7" t="s">
        <v>27</v>
      </c>
      <c r="F5" s="7" t="s">
        <v>28</v>
      </c>
      <c r="G5" s="7" t="s">
        <v>27</v>
      </c>
      <c r="H5" s="7" t="s">
        <v>28</v>
      </c>
    </row>
    <row r="6" spans="1:8" ht="30" customHeight="1" x14ac:dyDescent="0.2">
      <c r="A6" s="8" t="s">
        <v>29</v>
      </c>
      <c r="B6" s="9">
        <f>Postos!D20</f>
        <v>8483</v>
      </c>
      <c r="C6" s="10">
        <v>16</v>
      </c>
      <c r="D6" s="10">
        <v>6</v>
      </c>
      <c r="E6" s="11">
        <f>($B$6*(1+Postos!$C$44)*(1+Postos!$C$128)/200)*1.5</f>
        <v>108.77017935369459</v>
      </c>
      <c r="F6" s="11">
        <f>($B$6*(1+Postos!$C$44)*(1+Postos!$C$128)/200)*2</f>
        <v>145.02690580492612</v>
      </c>
      <c r="G6" s="12">
        <f>C6*E6</f>
        <v>1740.3228696591134</v>
      </c>
      <c r="H6" s="11">
        <f>D6*F6</f>
        <v>870.1614348295567</v>
      </c>
    </row>
    <row r="7" spans="1:8" x14ac:dyDescent="0.2">
      <c r="G7" s="13">
        <f>SUM(G6:G6)</f>
        <v>1740.3228696591134</v>
      </c>
      <c r="H7" s="13">
        <f>SUM(H6:H6)</f>
        <v>870.1614348295567</v>
      </c>
    </row>
    <row r="8" spans="1:8" x14ac:dyDescent="0.2">
      <c r="E8" s="155" t="s">
        <v>30</v>
      </c>
      <c r="F8" s="155"/>
      <c r="G8" s="153">
        <f>(G7+H7)*4</f>
        <v>10441.937217954681</v>
      </c>
      <c r="H8" s="154"/>
    </row>
    <row r="9" spans="1:8" x14ac:dyDescent="0.2">
      <c r="E9" s="147" t="s">
        <v>31</v>
      </c>
      <c r="F9" s="147"/>
      <c r="G9" s="148">
        <f>G8*12</f>
        <v>125303.24661545617</v>
      </c>
      <c r="H9" s="148"/>
    </row>
  </sheetData>
  <mergeCells count="9">
    <mergeCell ref="E9:F9"/>
    <mergeCell ref="G9:H9"/>
    <mergeCell ref="B4:B5"/>
    <mergeCell ref="A4:A5"/>
    <mergeCell ref="C4:D4"/>
    <mergeCell ref="E4:F4"/>
    <mergeCell ref="G4:H4"/>
    <mergeCell ref="G8:H8"/>
    <mergeCell ref="E8:F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showGridLines="0" tabSelected="1" view="pageBreakPreview" zoomScaleNormal="100" zoomScaleSheetLayoutView="100" workbookViewId="0">
      <selection activeCell="B2" sqref="B2"/>
    </sheetView>
  </sheetViews>
  <sheetFormatPr defaultRowHeight="12.75" x14ac:dyDescent="0.2"/>
  <cols>
    <col min="1" max="1" width="44.33203125" bestFit="1" customWidth="1"/>
    <col min="2" max="2" width="16.6640625" customWidth="1"/>
    <col min="3" max="3" width="15.33203125" customWidth="1"/>
    <col min="4" max="4" width="1" hidden="1" customWidth="1"/>
    <col min="5" max="5" width="13.5" bestFit="1" customWidth="1"/>
    <col min="6" max="6" width="16.6640625" customWidth="1"/>
    <col min="7" max="7" width="3.33203125" customWidth="1"/>
    <col min="8" max="8" width="5.83203125" customWidth="1"/>
    <col min="9" max="9" width="27.1640625" customWidth="1"/>
    <col min="10" max="10" width="3.33203125" customWidth="1"/>
    <col min="11" max="11" width="2.1640625" customWidth="1"/>
    <col min="12" max="13" width="1.1640625" customWidth="1"/>
    <col min="14" max="14" width="5.83203125" customWidth="1"/>
    <col min="15" max="15" width="1.1640625" customWidth="1"/>
    <col min="16" max="16" width="2.1640625" customWidth="1"/>
    <col min="17" max="17" width="4.6640625" customWidth="1"/>
    <col min="18" max="18" width="2.1640625" customWidth="1"/>
    <col min="19" max="20" width="1.1640625" customWidth="1"/>
    <col min="21" max="21" width="16.33203125" customWidth="1"/>
    <col min="22" max="22" width="10.5" bestFit="1" customWidth="1"/>
  </cols>
  <sheetData>
    <row r="1" spans="1:10" ht="25.5" x14ac:dyDescent="0.2">
      <c r="A1" s="141" t="s">
        <v>125</v>
      </c>
      <c r="B1" s="139" t="s">
        <v>24</v>
      </c>
      <c r="C1" s="140" t="s">
        <v>32</v>
      </c>
      <c r="D1" s="140"/>
      <c r="E1" s="140" t="s">
        <v>33</v>
      </c>
      <c r="F1" s="140" t="s">
        <v>34</v>
      </c>
      <c r="G1" s="14"/>
      <c r="H1" s="14"/>
      <c r="I1" s="14"/>
      <c r="J1" s="14"/>
    </row>
    <row r="2" spans="1:10" ht="15.75" x14ac:dyDescent="0.2">
      <c r="A2" s="142" t="s">
        <v>126</v>
      </c>
      <c r="B2" s="129">
        <v>4</v>
      </c>
      <c r="C2" s="157">
        <f>ROUND((Postos!D141),2)</f>
        <v>19190.14</v>
      </c>
      <c r="D2" s="157"/>
      <c r="E2" s="135">
        <f>C2*B2</f>
        <v>76760.56</v>
      </c>
      <c r="F2" s="130">
        <f>E2*12</f>
        <v>921126.72</v>
      </c>
      <c r="G2" s="14"/>
      <c r="H2" s="14"/>
      <c r="I2" s="14"/>
      <c r="J2" s="14"/>
    </row>
    <row r="3" spans="1:10" ht="12.75" customHeight="1" x14ac:dyDescent="0.2">
      <c r="A3" s="142" t="s">
        <v>127</v>
      </c>
      <c r="B3" s="129">
        <v>300</v>
      </c>
      <c r="C3" s="156">
        <f>ROUND((134.2*(1+Postos!$C$128)),2)</f>
        <v>167.71</v>
      </c>
      <c r="D3" s="156"/>
      <c r="E3" s="136"/>
      <c r="F3" s="131">
        <f>C3*B3</f>
        <v>50313</v>
      </c>
      <c r="G3" s="14"/>
      <c r="H3" s="14"/>
      <c r="I3" s="14"/>
      <c r="J3" s="14"/>
    </row>
    <row r="4" spans="1:10" x14ac:dyDescent="0.2">
      <c r="A4" s="142" t="s">
        <v>128</v>
      </c>
      <c r="B4" s="129">
        <v>2700</v>
      </c>
      <c r="C4" s="156">
        <f>ROUND((98.29*(1+Postos!$C$128)),2)</f>
        <v>122.84</v>
      </c>
      <c r="D4" s="156"/>
      <c r="E4" s="136"/>
      <c r="F4" s="131">
        <f>C4*B4</f>
        <v>331668</v>
      </c>
    </row>
    <row r="5" spans="1:10" x14ac:dyDescent="0.2">
      <c r="A5" s="142" t="s">
        <v>129</v>
      </c>
      <c r="B5" s="129">
        <v>240</v>
      </c>
      <c r="C5" s="156">
        <f>ROUND((DESLOC.MÉDIO!B11),2)</f>
        <v>553.34</v>
      </c>
      <c r="D5" s="156"/>
      <c r="E5" s="136"/>
      <c r="F5" s="130">
        <f>C5*B5</f>
        <v>132801.60000000001</v>
      </c>
      <c r="I5" s="1"/>
    </row>
    <row r="6" spans="1:10" x14ac:dyDescent="0.2">
      <c r="A6" s="142" t="s">
        <v>130</v>
      </c>
      <c r="B6" s="138"/>
      <c r="C6" s="163"/>
      <c r="D6" s="163"/>
      <c r="E6" s="136"/>
      <c r="F6" s="130">
        <f>'Hora extra'!G9</f>
        <v>125303.24661545617</v>
      </c>
    </row>
    <row r="7" spans="1:10" x14ac:dyDescent="0.2">
      <c r="A7" s="160" t="s">
        <v>35</v>
      </c>
      <c r="B7" s="160"/>
      <c r="C7" s="134"/>
      <c r="D7" s="132"/>
      <c r="E7" s="137">
        <f>SUM(E2:E6)</f>
        <v>76760.56</v>
      </c>
      <c r="F7" s="133">
        <f>SUM(F2:F6)</f>
        <v>1561212.5666154562</v>
      </c>
    </row>
    <row r="8" spans="1:10" x14ac:dyDescent="0.2">
      <c r="A8" s="161"/>
      <c r="B8" s="161"/>
      <c r="C8" s="161"/>
      <c r="D8" s="161"/>
      <c r="E8" s="161"/>
      <c r="F8" s="158"/>
    </row>
    <row r="9" spans="1:10" x14ac:dyDescent="0.2">
      <c r="A9" s="162"/>
      <c r="B9" s="162"/>
      <c r="C9" s="162"/>
      <c r="D9" s="162"/>
      <c r="E9" s="162"/>
      <c r="F9" s="159"/>
    </row>
    <row r="10" spans="1:10" x14ac:dyDescent="0.2">
      <c r="A10" s="162"/>
      <c r="B10" s="162"/>
      <c r="C10" s="162"/>
      <c r="D10" s="162"/>
      <c r="E10" s="162"/>
      <c r="F10" s="159"/>
    </row>
    <row r="19" spans="7:7" x14ac:dyDescent="0.2">
      <c r="G19" s="1"/>
    </row>
  </sheetData>
  <mergeCells count="9">
    <mergeCell ref="A7:B7"/>
    <mergeCell ref="A8:A10"/>
    <mergeCell ref="B8:E10"/>
    <mergeCell ref="C6:D6"/>
    <mergeCell ref="C3:D3"/>
    <mergeCell ref="C2:D2"/>
    <mergeCell ref="C5:D5"/>
    <mergeCell ref="C4:D4"/>
    <mergeCell ref="F8:F10"/>
  </mergeCells>
  <pageMargins left="0.511811024" right="0.511811024" top="0.78740157499999996" bottom="0.78740157499999996" header="0.31496062000000002" footer="0.31496062000000002"/>
  <pageSetup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view="pageBreakPreview" zoomScale="90" zoomScaleNormal="120" zoomScaleSheetLayoutView="90" workbookViewId="0">
      <selection activeCell="N15" sqref="N15"/>
    </sheetView>
  </sheetViews>
  <sheetFormatPr defaultColWidth="10" defaultRowHeight="11.25" x14ac:dyDescent="0.2"/>
  <cols>
    <col min="1" max="1" width="18.33203125" style="38" customWidth="1"/>
    <col min="2" max="2" width="12" style="38" bestFit="1" customWidth="1"/>
    <col min="3" max="3" width="11.1640625" style="38" bestFit="1" customWidth="1"/>
    <col min="4" max="4" width="10.6640625" style="53" bestFit="1" customWidth="1"/>
    <col min="5" max="5" width="11.33203125" style="54" bestFit="1" customWidth="1"/>
    <col min="6" max="6" width="10.5" style="55" bestFit="1" customWidth="1"/>
    <col min="7" max="9" width="11.33203125" style="48" bestFit="1" customWidth="1"/>
    <col min="10" max="10" width="13.5" style="48" bestFit="1" customWidth="1"/>
    <col min="11" max="11" width="10.5" style="38" bestFit="1" customWidth="1"/>
    <col min="12" max="12" width="11.5" style="38" bestFit="1" customWidth="1"/>
    <col min="13" max="13" width="13.5" style="38" bestFit="1" customWidth="1"/>
    <col min="14" max="14" width="10.83203125" style="40" bestFit="1" customWidth="1"/>
    <col min="15" max="15" width="14.1640625" style="39" bestFit="1" customWidth="1"/>
    <col min="16" max="16" width="6.1640625" style="41" bestFit="1" customWidth="1"/>
    <col min="17" max="17" width="15.5" style="42" bestFit="1" customWidth="1"/>
    <col min="18" max="16384" width="10" style="38"/>
  </cols>
  <sheetData>
    <row r="1" spans="1:18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36"/>
      <c r="Q1" s="37"/>
    </row>
    <row r="2" spans="1:18" x14ac:dyDescent="0.2">
      <c r="A2" s="165" t="s">
        <v>65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36"/>
      <c r="Q2" s="37"/>
    </row>
    <row r="3" spans="1:18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8" s="44" customFormat="1" x14ac:dyDescent="0.2">
      <c r="A4" s="169" t="s">
        <v>64</v>
      </c>
      <c r="B4" s="169"/>
      <c r="C4" s="169"/>
      <c r="D4" s="169"/>
      <c r="E4" s="169"/>
      <c r="F4" s="169"/>
      <c r="G4" s="43"/>
      <c r="H4" s="43"/>
      <c r="I4" s="43"/>
      <c r="J4" s="43"/>
      <c r="N4" s="40"/>
      <c r="O4" s="40"/>
      <c r="P4" s="45"/>
      <c r="Q4" s="46"/>
    </row>
    <row r="5" spans="1:18" x14ac:dyDescent="0.2">
      <c r="A5" s="166" t="s">
        <v>63</v>
      </c>
      <c r="B5" s="167"/>
      <c r="C5" s="167"/>
      <c r="D5" s="167"/>
      <c r="E5" s="168"/>
      <c r="F5" s="47">
        <v>80</v>
      </c>
    </row>
    <row r="6" spans="1:18" x14ac:dyDescent="0.2">
      <c r="A6" s="166" t="s">
        <v>62</v>
      </c>
      <c r="B6" s="167"/>
      <c r="C6" s="167"/>
      <c r="D6" s="167"/>
      <c r="E6" s="168"/>
      <c r="F6" s="47">
        <v>3</v>
      </c>
    </row>
    <row r="7" spans="1:18" x14ac:dyDescent="0.2">
      <c r="A7" s="166" t="s">
        <v>61</v>
      </c>
      <c r="B7" s="167"/>
      <c r="C7" s="167"/>
      <c r="D7" s="167"/>
      <c r="E7" s="168"/>
      <c r="F7" s="47">
        <v>90</v>
      </c>
    </row>
    <row r="8" spans="1:18" x14ac:dyDescent="0.2">
      <c r="A8" s="166" t="s">
        <v>60</v>
      </c>
      <c r="B8" s="167"/>
      <c r="C8" s="167"/>
      <c r="D8" s="167"/>
      <c r="E8" s="168"/>
      <c r="F8" s="49" t="s">
        <v>59</v>
      </c>
    </row>
    <row r="9" spans="1:18" x14ac:dyDescent="0.2">
      <c r="A9" s="166" t="s">
        <v>58</v>
      </c>
      <c r="B9" s="167"/>
      <c r="C9" s="167"/>
      <c r="D9" s="167"/>
      <c r="E9" s="168"/>
      <c r="F9" s="51">
        <f>'Valor médio gasolina comum'!C35</f>
        <v>4.7054137931034479</v>
      </c>
    </row>
    <row r="10" spans="1:18" x14ac:dyDescent="0.2">
      <c r="A10" s="166" t="s">
        <v>57</v>
      </c>
      <c r="B10" s="167"/>
      <c r="C10" s="167"/>
      <c r="D10" s="167"/>
      <c r="E10" s="168"/>
      <c r="F10" s="47">
        <v>10</v>
      </c>
    </row>
    <row r="11" spans="1:18" x14ac:dyDescent="0.2">
      <c r="A11" s="166" t="s">
        <v>56</v>
      </c>
      <c r="B11" s="167"/>
      <c r="C11" s="167"/>
      <c r="D11" s="167"/>
      <c r="E11" s="168"/>
      <c r="F11" s="52">
        <v>200</v>
      </c>
    </row>
    <row r="12" spans="1:18" x14ac:dyDescent="0.2">
      <c r="N12" s="56"/>
    </row>
    <row r="13" spans="1:18" ht="12" thickBot="1" x14ac:dyDescent="0.25">
      <c r="A13" s="57"/>
      <c r="B13" s="57"/>
      <c r="C13" s="57"/>
    </row>
    <row r="14" spans="1:18" s="68" customFormat="1" ht="90" x14ac:dyDescent="0.2">
      <c r="A14" s="58" t="s">
        <v>55</v>
      </c>
      <c r="B14" s="59" t="s">
        <v>54</v>
      </c>
      <c r="C14" s="59" t="s">
        <v>53</v>
      </c>
      <c r="D14" s="60" t="s">
        <v>123</v>
      </c>
      <c r="E14" s="61" t="s">
        <v>52</v>
      </c>
      <c r="F14" s="62" t="s">
        <v>51</v>
      </c>
      <c r="G14" s="63" t="s">
        <v>50</v>
      </c>
      <c r="H14" s="63" t="s">
        <v>49</v>
      </c>
      <c r="I14" s="63" t="s">
        <v>48</v>
      </c>
      <c r="J14" s="59" t="s">
        <v>47</v>
      </c>
      <c r="K14" s="59" t="s">
        <v>46</v>
      </c>
      <c r="L14" s="59" t="s">
        <v>124</v>
      </c>
      <c r="M14" s="59" t="s">
        <v>45</v>
      </c>
      <c r="N14" s="64" t="s">
        <v>122</v>
      </c>
      <c r="O14" s="65" t="s">
        <v>44</v>
      </c>
      <c r="P14" s="66"/>
      <c r="Q14" s="67" t="s">
        <v>43</v>
      </c>
    </row>
    <row r="15" spans="1:18" s="78" customFormat="1" x14ac:dyDescent="0.2">
      <c r="A15" s="69" t="s">
        <v>42</v>
      </c>
      <c r="B15" s="70" t="s">
        <v>42</v>
      </c>
      <c r="C15" s="70" t="s">
        <v>41</v>
      </c>
      <c r="D15" s="71" t="s">
        <v>40</v>
      </c>
      <c r="E15" s="72" t="s">
        <v>40</v>
      </c>
      <c r="F15" s="73" t="s">
        <v>40</v>
      </c>
      <c r="G15" s="71" t="s">
        <v>39</v>
      </c>
      <c r="H15" s="71" t="s">
        <v>38</v>
      </c>
      <c r="I15" s="70" t="s">
        <v>38</v>
      </c>
      <c r="J15" s="70" t="s">
        <v>37</v>
      </c>
      <c r="K15" s="70" t="s">
        <v>37</v>
      </c>
      <c r="L15" s="70" t="s">
        <v>37</v>
      </c>
      <c r="M15" s="70" t="s">
        <v>37</v>
      </c>
      <c r="N15" s="74">
        <f>Postos!C128</f>
        <v>0.24972085385878495</v>
      </c>
      <c r="O15" s="75" t="s">
        <v>37</v>
      </c>
      <c r="P15" s="76"/>
      <c r="Q15" s="77"/>
    </row>
    <row r="16" spans="1:18" s="78" customFormat="1" x14ac:dyDescent="0.2">
      <c r="A16" s="79">
        <v>100</v>
      </c>
      <c r="B16" s="80">
        <v>20</v>
      </c>
      <c r="C16" s="81">
        <f t="shared" ref="C16:C37" si="0">((A16+B16)/10)</f>
        <v>12</v>
      </c>
      <c r="D16" s="82">
        <f t="shared" ref="D16:D37" si="1">((A16+B16)/80)</f>
        <v>1.5</v>
      </c>
      <c r="E16" s="83">
        <v>3</v>
      </c>
      <c r="F16" s="84">
        <f t="shared" ref="F16:F37" si="2">D16+E16</f>
        <v>4.5</v>
      </c>
      <c r="G16" s="85">
        <f t="shared" ref="G16:G37" si="3">F16/9</f>
        <v>0.5</v>
      </c>
      <c r="H16" s="86">
        <f t="shared" ref="H16:H37" si="4">ROUNDUP(G16,0)</f>
        <v>1</v>
      </c>
      <c r="I16" s="87">
        <f t="shared" ref="I16:I37" si="5">H16-0.5</f>
        <v>0.5</v>
      </c>
      <c r="J16" s="88">
        <f t="shared" ref="J16:J37" si="6">C16*$F$9</f>
        <v>56.464965517241374</v>
      </c>
      <c r="K16" s="89">
        <f t="shared" ref="K16:K37" si="7">H16*$F$7</f>
        <v>90</v>
      </c>
      <c r="L16" s="89">
        <f t="shared" ref="L16:L37" si="8">(I16*$F$11)*1</f>
        <v>100</v>
      </c>
      <c r="M16" s="90">
        <f t="shared" ref="M16:M37" si="9">J16+K16+L16</f>
        <v>246.46496551724138</v>
      </c>
      <c r="N16" s="88">
        <f>M16*$N$15</f>
        <v>61.547441635241505</v>
      </c>
      <c r="O16" s="91">
        <f t="shared" ref="O16:O37" si="10">M16+N16</f>
        <v>308.01240715248287</v>
      </c>
      <c r="P16" s="66">
        <v>1</v>
      </c>
      <c r="Q16" s="92">
        <f t="shared" ref="Q16:Q37" si="11">O16/H16</f>
        <v>308.01240715248287</v>
      </c>
      <c r="R16" s="93"/>
    </row>
    <row r="17" spans="1:18" s="78" customFormat="1" x14ac:dyDescent="0.2">
      <c r="A17" s="79">
        <v>200</v>
      </c>
      <c r="B17" s="80">
        <v>20</v>
      </c>
      <c r="C17" s="81">
        <f t="shared" si="0"/>
        <v>22</v>
      </c>
      <c r="D17" s="82">
        <f t="shared" si="1"/>
        <v>2.75</v>
      </c>
      <c r="E17" s="83">
        <v>3</v>
      </c>
      <c r="F17" s="84">
        <f t="shared" si="2"/>
        <v>5.75</v>
      </c>
      <c r="G17" s="85">
        <f t="shared" si="3"/>
        <v>0.63888888888888884</v>
      </c>
      <c r="H17" s="86">
        <f t="shared" si="4"/>
        <v>1</v>
      </c>
      <c r="I17" s="87">
        <f t="shared" si="5"/>
        <v>0.5</v>
      </c>
      <c r="J17" s="88">
        <f t="shared" si="6"/>
        <v>103.51910344827586</v>
      </c>
      <c r="K17" s="89">
        <f t="shared" si="7"/>
        <v>90</v>
      </c>
      <c r="L17" s="89">
        <f t="shared" si="8"/>
        <v>100</v>
      </c>
      <c r="M17" s="90">
        <f t="shared" si="9"/>
        <v>293.51910344827587</v>
      </c>
      <c r="N17" s="88">
        <f>M17*$N$15</f>
        <v>73.297841136968486</v>
      </c>
      <c r="O17" s="91">
        <f t="shared" si="10"/>
        <v>366.81694458524436</v>
      </c>
      <c r="P17" s="66">
        <v>2</v>
      </c>
      <c r="Q17" s="92">
        <f t="shared" si="11"/>
        <v>366.81694458524436</v>
      </c>
      <c r="R17" s="93"/>
    </row>
    <row r="18" spans="1:18" s="68" customFormat="1" x14ac:dyDescent="0.2">
      <c r="A18" s="79">
        <v>300</v>
      </c>
      <c r="B18" s="80">
        <v>20</v>
      </c>
      <c r="C18" s="81">
        <f t="shared" si="0"/>
        <v>32</v>
      </c>
      <c r="D18" s="82">
        <f t="shared" si="1"/>
        <v>4</v>
      </c>
      <c r="E18" s="83">
        <v>3</v>
      </c>
      <c r="F18" s="84">
        <f t="shared" si="2"/>
        <v>7</v>
      </c>
      <c r="G18" s="85">
        <f t="shared" si="3"/>
        <v>0.77777777777777779</v>
      </c>
      <c r="H18" s="86">
        <f t="shared" si="4"/>
        <v>1</v>
      </c>
      <c r="I18" s="87">
        <f t="shared" si="5"/>
        <v>0.5</v>
      </c>
      <c r="J18" s="88">
        <f t="shared" si="6"/>
        <v>150.57324137931033</v>
      </c>
      <c r="K18" s="90">
        <f t="shared" si="7"/>
        <v>90</v>
      </c>
      <c r="L18" s="89">
        <f t="shared" si="8"/>
        <v>100</v>
      </c>
      <c r="M18" s="90">
        <f t="shared" si="9"/>
        <v>340.57324137931033</v>
      </c>
      <c r="N18" s="88">
        <f t="shared" ref="N18:N37" si="12">M18*$N$15</f>
        <v>85.048240638695447</v>
      </c>
      <c r="O18" s="91">
        <f t="shared" si="10"/>
        <v>425.62148201800579</v>
      </c>
      <c r="P18" s="66">
        <v>3</v>
      </c>
      <c r="Q18" s="92">
        <f t="shared" si="11"/>
        <v>425.62148201800579</v>
      </c>
      <c r="R18" s="94"/>
    </row>
    <row r="19" spans="1:18" s="68" customFormat="1" x14ac:dyDescent="0.2">
      <c r="A19" s="79">
        <v>400</v>
      </c>
      <c r="B19" s="80">
        <v>20</v>
      </c>
      <c r="C19" s="81">
        <f t="shared" si="0"/>
        <v>42</v>
      </c>
      <c r="D19" s="82">
        <f t="shared" si="1"/>
        <v>5.25</v>
      </c>
      <c r="E19" s="83">
        <v>3</v>
      </c>
      <c r="F19" s="84">
        <f t="shared" si="2"/>
        <v>8.25</v>
      </c>
      <c r="G19" s="85">
        <f t="shared" si="3"/>
        <v>0.91666666666666663</v>
      </c>
      <c r="H19" s="86">
        <f t="shared" si="4"/>
        <v>1</v>
      </c>
      <c r="I19" s="87">
        <f t="shared" si="5"/>
        <v>0.5</v>
      </c>
      <c r="J19" s="88">
        <f t="shared" si="6"/>
        <v>197.62737931034482</v>
      </c>
      <c r="K19" s="90">
        <f t="shared" si="7"/>
        <v>90</v>
      </c>
      <c r="L19" s="89">
        <f t="shared" si="8"/>
        <v>100</v>
      </c>
      <c r="M19" s="90">
        <f t="shared" si="9"/>
        <v>387.62737931034485</v>
      </c>
      <c r="N19" s="88">
        <f t="shared" si="12"/>
        <v>96.798640140422421</v>
      </c>
      <c r="O19" s="91">
        <f t="shared" si="10"/>
        <v>484.42601945076728</v>
      </c>
      <c r="P19" s="66">
        <v>4</v>
      </c>
      <c r="Q19" s="92">
        <f t="shared" si="11"/>
        <v>484.42601945076728</v>
      </c>
      <c r="R19" s="93"/>
    </row>
    <row r="20" spans="1:18" s="68" customFormat="1" x14ac:dyDescent="0.2">
      <c r="A20" s="79">
        <v>500</v>
      </c>
      <c r="B20" s="80">
        <v>20</v>
      </c>
      <c r="C20" s="81">
        <f t="shared" si="0"/>
        <v>52</v>
      </c>
      <c r="D20" s="82">
        <f t="shared" si="1"/>
        <v>6.5</v>
      </c>
      <c r="E20" s="83">
        <v>3</v>
      </c>
      <c r="F20" s="84">
        <f t="shared" si="2"/>
        <v>9.5</v>
      </c>
      <c r="G20" s="85">
        <f t="shared" si="3"/>
        <v>1.0555555555555556</v>
      </c>
      <c r="H20" s="86">
        <f t="shared" si="4"/>
        <v>2</v>
      </c>
      <c r="I20" s="87">
        <f t="shared" si="5"/>
        <v>1.5</v>
      </c>
      <c r="J20" s="88">
        <f t="shared" si="6"/>
        <v>244.68151724137928</v>
      </c>
      <c r="K20" s="90">
        <f t="shared" si="7"/>
        <v>180</v>
      </c>
      <c r="L20" s="89">
        <f t="shared" si="8"/>
        <v>300</v>
      </c>
      <c r="M20" s="90">
        <f t="shared" si="9"/>
        <v>724.68151724137931</v>
      </c>
      <c r="N20" s="88">
        <f t="shared" si="12"/>
        <v>180.96808726119704</v>
      </c>
      <c r="O20" s="91">
        <f t="shared" si="10"/>
        <v>905.64960450257638</v>
      </c>
      <c r="P20" s="66">
        <v>5</v>
      </c>
      <c r="Q20" s="92">
        <f t="shared" si="11"/>
        <v>452.82480225128819</v>
      </c>
      <c r="R20" s="93"/>
    </row>
    <row r="21" spans="1:18" s="68" customFormat="1" x14ac:dyDescent="0.2">
      <c r="A21" s="79">
        <v>600</v>
      </c>
      <c r="B21" s="80">
        <v>20</v>
      </c>
      <c r="C21" s="81">
        <f t="shared" si="0"/>
        <v>62</v>
      </c>
      <c r="D21" s="82">
        <f t="shared" si="1"/>
        <v>7.75</v>
      </c>
      <c r="E21" s="83">
        <v>3</v>
      </c>
      <c r="F21" s="84">
        <f t="shared" si="2"/>
        <v>10.75</v>
      </c>
      <c r="G21" s="85">
        <f t="shared" si="3"/>
        <v>1.1944444444444444</v>
      </c>
      <c r="H21" s="86">
        <f t="shared" si="4"/>
        <v>2</v>
      </c>
      <c r="I21" s="87">
        <f t="shared" si="5"/>
        <v>1.5</v>
      </c>
      <c r="J21" s="88">
        <f t="shared" si="6"/>
        <v>291.73565517241377</v>
      </c>
      <c r="K21" s="90">
        <f t="shared" si="7"/>
        <v>180</v>
      </c>
      <c r="L21" s="89">
        <f t="shared" si="8"/>
        <v>300</v>
      </c>
      <c r="M21" s="90">
        <f t="shared" si="9"/>
        <v>771.73565517241377</v>
      </c>
      <c r="N21" s="88">
        <f t="shared" si="12"/>
        <v>192.71848676292399</v>
      </c>
      <c r="O21" s="91">
        <f t="shared" si="10"/>
        <v>964.4541419353377</v>
      </c>
      <c r="P21" s="66">
        <v>6</v>
      </c>
      <c r="Q21" s="92">
        <f t="shared" si="11"/>
        <v>482.22707096766885</v>
      </c>
      <c r="R21" s="93"/>
    </row>
    <row r="22" spans="1:18" s="68" customFormat="1" x14ac:dyDescent="0.2">
      <c r="A22" s="79">
        <v>700</v>
      </c>
      <c r="B22" s="80">
        <v>20</v>
      </c>
      <c r="C22" s="81">
        <f t="shared" si="0"/>
        <v>72</v>
      </c>
      <c r="D22" s="82">
        <f t="shared" si="1"/>
        <v>9</v>
      </c>
      <c r="E22" s="83">
        <v>3</v>
      </c>
      <c r="F22" s="84">
        <f t="shared" si="2"/>
        <v>12</v>
      </c>
      <c r="G22" s="85">
        <f t="shared" si="3"/>
        <v>1.3333333333333333</v>
      </c>
      <c r="H22" s="86">
        <f t="shared" si="4"/>
        <v>2</v>
      </c>
      <c r="I22" s="87">
        <f t="shared" si="5"/>
        <v>1.5</v>
      </c>
      <c r="J22" s="88">
        <f t="shared" si="6"/>
        <v>338.78979310344823</v>
      </c>
      <c r="K22" s="90">
        <f t="shared" si="7"/>
        <v>180</v>
      </c>
      <c r="L22" s="89">
        <f t="shared" si="8"/>
        <v>300</v>
      </c>
      <c r="M22" s="90">
        <f t="shared" si="9"/>
        <v>818.78979310344823</v>
      </c>
      <c r="N22" s="88">
        <f t="shared" si="12"/>
        <v>204.46888626465096</v>
      </c>
      <c r="O22" s="91">
        <f t="shared" si="10"/>
        <v>1023.2586793680991</v>
      </c>
      <c r="P22" s="66">
        <v>7</v>
      </c>
      <c r="Q22" s="92">
        <f t="shared" si="11"/>
        <v>511.62933968404957</v>
      </c>
      <c r="R22" s="93"/>
    </row>
    <row r="23" spans="1:18" s="68" customFormat="1" x14ac:dyDescent="0.2">
      <c r="A23" s="79">
        <v>800</v>
      </c>
      <c r="B23" s="80">
        <v>20</v>
      </c>
      <c r="C23" s="81">
        <f t="shared" si="0"/>
        <v>82</v>
      </c>
      <c r="D23" s="82">
        <f t="shared" si="1"/>
        <v>10.25</v>
      </c>
      <c r="E23" s="83">
        <v>3</v>
      </c>
      <c r="F23" s="84">
        <f t="shared" si="2"/>
        <v>13.25</v>
      </c>
      <c r="G23" s="85">
        <f t="shared" si="3"/>
        <v>1.4722222222222223</v>
      </c>
      <c r="H23" s="86">
        <f t="shared" si="4"/>
        <v>2</v>
      </c>
      <c r="I23" s="87">
        <f t="shared" si="5"/>
        <v>1.5</v>
      </c>
      <c r="J23" s="88">
        <f t="shared" si="6"/>
        <v>385.84393103448275</v>
      </c>
      <c r="K23" s="90">
        <f t="shared" si="7"/>
        <v>180</v>
      </c>
      <c r="L23" s="89">
        <f t="shared" si="8"/>
        <v>300</v>
      </c>
      <c r="M23" s="90">
        <f t="shared" si="9"/>
        <v>865.84393103448269</v>
      </c>
      <c r="N23" s="88">
        <f t="shared" si="12"/>
        <v>216.21928576637794</v>
      </c>
      <c r="O23" s="91">
        <f t="shared" si="10"/>
        <v>1082.0632168008606</v>
      </c>
      <c r="P23" s="66">
        <v>8</v>
      </c>
      <c r="Q23" s="92">
        <f t="shared" si="11"/>
        <v>541.03160840043029</v>
      </c>
      <c r="R23" s="93"/>
    </row>
    <row r="24" spans="1:18" s="68" customFormat="1" x14ac:dyDescent="0.2">
      <c r="A24" s="79">
        <v>900</v>
      </c>
      <c r="B24" s="80">
        <v>20</v>
      </c>
      <c r="C24" s="81">
        <f t="shared" si="0"/>
        <v>92</v>
      </c>
      <c r="D24" s="82">
        <f t="shared" si="1"/>
        <v>11.5</v>
      </c>
      <c r="E24" s="83">
        <v>3</v>
      </c>
      <c r="F24" s="84">
        <f t="shared" si="2"/>
        <v>14.5</v>
      </c>
      <c r="G24" s="85">
        <f t="shared" si="3"/>
        <v>1.6111111111111112</v>
      </c>
      <c r="H24" s="86">
        <f t="shared" si="4"/>
        <v>2</v>
      </c>
      <c r="I24" s="87">
        <f t="shared" si="5"/>
        <v>1.5</v>
      </c>
      <c r="J24" s="88">
        <f t="shared" si="6"/>
        <v>432.89806896551721</v>
      </c>
      <c r="K24" s="90">
        <f t="shared" si="7"/>
        <v>180</v>
      </c>
      <c r="L24" s="89">
        <f t="shared" si="8"/>
        <v>300</v>
      </c>
      <c r="M24" s="90">
        <f t="shared" si="9"/>
        <v>912.89806896551727</v>
      </c>
      <c r="N24" s="88">
        <f t="shared" si="12"/>
        <v>227.96968526810491</v>
      </c>
      <c r="O24" s="91">
        <f t="shared" si="10"/>
        <v>1140.8677542336222</v>
      </c>
      <c r="P24" s="66">
        <v>9</v>
      </c>
      <c r="Q24" s="92">
        <f t="shared" si="11"/>
        <v>570.43387711681112</v>
      </c>
      <c r="R24" s="93"/>
    </row>
    <row r="25" spans="1:18" s="68" customFormat="1" x14ac:dyDescent="0.2">
      <c r="A25" s="79">
        <v>1000</v>
      </c>
      <c r="B25" s="80">
        <v>20</v>
      </c>
      <c r="C25" s="81">
        <f t="shared" si="0"/>
        <v>102</v>
      </c>
      <c r="D25" s="82">
        <f t="shared" si="1"/>
        <v>12.75</v>
      </c>
      <c r="E25" s="83">
        <v>3</v>
      </c>
      <c r="F25" s="84">
        <f t="shared" si="2"/>
        <v>15.75</v>
      </c>
      <c r="G25" s="85">
        <f t="shared" si="3"/>
        <v>1.75</v>
      </c>
      <c r="H25" s="86">
        <f t="shared" si="4"/>
        <v>2</v>
      </c>
      <c r="I25" s="87">
        <f t="shared" si="5"/>
        <v>1.5</v>
      </c>
      <c r="J25" s="88">
        <f t="shared" si="6"/>
        <v>479.95220689655167</v>
      </c>
      <c r="K25" s="90">
        <f t="shared" si="7"/>
        <v>180</v>
      </c>
      <c r="L25" s="89">
        <f t="shared" si="8"/>
        <v>300</v>
      </c>
      <c r="M25" s="90">
        <f t="shared" si="9"/>
        <v>959.95220689655162</v>
      </c>
      <c r="N25" s="88">
        <f t="shared" si="12"/>
        <v>239.72008476983186</v>
      </c>
      <c r="O25" s="91">
        <f t="shared" si="10"/>
        <v>1199.6722916663834</v>
      </c>
      <c r="P25" s="66">
        <v>10</v>
      </c>
      <c r="Q25" s="92">
        <f t="shared" si="11"/>
        <v>599.83614583319172</v>
      </c>
      <c r="R25" s="93"/>
    </row>
    <row r="26" spans="1:18" s="68" customFormat="1" x14ac:dyDescent="0.2">
      <c r="A26" s="79">
        <v>1100</v>
      </c>
      <c r="B26" s="80">
        <v>20</v>
      </c>
      <c r="C26" s="81">
        <f t="shared" si="0"/>
        <v>112</v>
      </c>
      <c r="D26" s="82">
        <f t="shared" si="1"/>
        <v>14</v>
      </c>
      <c r="E26" s="83">
        <v>3</v>
      </c>
      <c r="F26" s="84">
        <f t="shared" si="2"/>
        <v>17</v>
      </c>
      <c r="G26" s="85">
        <f t="shared" si="3"/>
        <v>1.8888888888888888</v>
      </c>
      <c r="H26" s="86">
        <f t="shared" si="4"/>
        <v>2</v>
      </c>
      <c r="I26" s="87">
        <f t="shared" si="5"/>
        <v>1.5</v>
      </c>
      <c r="J26" s="88">
        <f t="shared" si="6"/>
        <v>527.00634482758619</v>
      </c>
      <c r="K26" s="90">
        <f t="shared" si="7"/>
        <v>180</v>
      </c>
      <c r="L26" s="89">
        <f t="shared" si="8"/>
        <v>300</v>
      </c>
      <c r="M26" s="90">
        <f t="shared" si="9"/>
        <v>1007.0063448275862</v>
      </c>
      <c r="N26" s="88">
        <f t="shared" si="12"/>
        <v>251.47048427155886</v>
      </c>
      <c r="O26" s="91">
        <f t="shared" si="10"/>
        <v>1258.4768290991451</v>
      </c>
      <c r="P26" s="66">
        <v>11</v>
      </c>
      <c r="Q26" s="92">
        <f t="shared" si="11"/>
        <v>629.23841454957255</v>
      </c>
      <c r="R26" s="93"/>
    </row>
    <row r="27" spans="1:18" s="68" customFormat="1" x14ac:dyDescent="0.2">
      <c r="A27" s="79">
        <v>1200</v>
      </c>
      <c r="B27" s="80">
        <v>20</v>
      </c>
      <c r="C27" s="81">
        <f t="shared" si="0"/>
        <v>122</v>
      </c>
      <c r="D27" s="82">
        <f t="shared" si="1"/>
        <v>15.25</v>
      </c>
      <c r="E27" s="83">
        <v>3</v>
      </c>
      <c r="F27" s="84">
        <f t="shared" si="2"/>
        <v>18.25</v>
      </c>
      <c r="G27" s="85">
        <f t="shared" si="3"/>
        <v>2.0277777777777777</v>
      </c>
      <c r="H27" s="86">
        <f t="shared" si="4"/>
        <v>3</v>
      </c>
      <c r="I27" s="87">
        <f t="shared" si="5"/>
        <v>2.5</v>
      </c>
      <c r="J27" s="88">
        <f t="shared" si="6"/>
        <v>574.06048275862065</v>
      </c>
      <c r="K27" s="90">
        <f t="shared" si="7"/>
        <v>270</v>
      </c>
      <c r="L27" s="89">
        <f t="shared" si="8"/>
        <v>500</v>
      </c>
      <c r="M27" s="90">
        <f t="shared" si="9"/>
        <v>1344.0604827586208</v>
      </c>
      <c r="N27" s="88">
        <f t="shared" si="12"/>
        <v>335.63993139233349</v>
      </c>
      <c r="O27" s="91">
        <f t="shared" si="10"/>
        <v>1679.7004141509542</v>
      </c>
      <c r="P27" s="66">
        <v>12</v>
      </c>
      <c r="Q27" s="92">
        <f t="shared" si="11"/>
        <v>559.90013805031811</v>
      </c>
      <c r="R27" s="93"/>
    </row>
    <row r="28" spans="1:18" s="68" customFormat="1" x14ac:dyDescent="0.2">
      <c r="A28" s="79">
        <v>1300</v>
      </c>
      <c r="B28" s="80">
        <v>20</v>
      </c>
      <c r="C28" s="81">
        <f t="shared" si="0"/>
        <v>132</v>
      </c>
      <c r="D28" s="82">
        <f t="shared" si="1"/>
        <v>16.5</v>
      </c>
      <c r="E28" s="83">
        <v>3</v>
      </c>
      <c r="F28" s="84">
        <f t="shared" si="2"/>
        <v>19.5</v>
      </c>
      <c r="G28" s="85">
        <f t="shared" si="3"/>
        <v>2.1666666666666665</v>
      </c>
      <c r="H28" s="86">
        <f t="shared" si="4"/>
        <v>3</v>
      </c>
      <c r="I28" s="87">
        <f t="shared" si="5"/>
        <v>2.5</v>
      </c>
      <c r="J28" s="88">
        <f t="shared" si="6"/>
        <v>621.11462068965511</v>
      </c>
      <c r="K28" s="90">
        <f t="shared" si="7"/>
        <v>270</v>
      </c>
      <c r="L28" s="89">
        <f t="shared" si="8"/>
        <v>500</v>
      </c>
      <c r="M28" s="90">
        <f t="shared" si="9"/>
        <v>1391.1146206896551</v>
      </c>
      <c r="N28" s="88">
        <f t="shared" si="12"/>
        <v>347.39033089406041</v>
      </c>
      <c r="O28" s="91">
        <f t="shared" si="10"/>
        <v>1738.5049515837154</v>
      </c>
      <c r="P28" s="66">
        <v>13</v>
      </c>
      <c r="Q28" s="92">
        <f t="shared" si="11"/>
        <v>579.5016505279051</v>
      </c>
      <c r="R28" s="93"/>
    </row>
    <row r="29" spans="1:18" s="68" customFormat="1" x14ac:dyDescent="0.2">
      <c r="A29" s="79">
        <v>1400</v>
      </c>
      <c r="B29" s="80">
        <v>20</v>
      </c>
      <c r="C29" s="81">
        <f t="shared" si="0"/>
        <v>142</v>
      </c>
      <c r="D29" s="82">
        <f t="shared" si="1"/>
        <v>17.75</v>
      </c>
      <c r="E29" s="83">
        <v>3</v>
      </c>
      <c r="F29" s="84">
        <f t="shared" si="2"/>
        <v>20.75</v>
      </c>
      <c r="G29" s="85">
        <f t="shared" si="3"/>
        <v>2.3055555555555554</v>
      </c>
      <c r="H29" s="86">
        <f t="shared" si="4"/>
        <v>3</v>
      </c>
      <c r="I29" s="87">
        <f t="shared" si="5"/>
        <v>2.5</v>
      </c>
      <c r="J29" s="88">
        <f t="shared" si="6"/>
        <v>668.16875862068957</v>
      </c>
      <c r="K29" s="90">
        <f t="shared" si="7"/>
        <v>270</v>
      </c>
      <c r="L29" s="89">
        <f t="shared" si="8"/>
        <v>500</v>
      </c>
      <c r="M29" s="90">
        <f t="shared" si="9"/>
        <v>1438.1687586206895</v>
      </c>
      <c r="N29" s="88">
        <f t="shared" si="12"/>
        <v>359.14073039578739</v>
      </c>
      <c r="O29" s="91">
        <f t="shared" si="10"/>
        <v>1797.3094890164768</v>
      </c>
      <c r="P29" s="66">
        <v>14</v>
      </c>
      <c r="Q29" s="92">
        <f t="shared" si="11"/>
        <v>599.10316300549232</v>
      </c>
      <c r="R29" s="93"/>
    </row>
    <row r="30" spans="1:18" s="68" customFormat="1" x14ac:dyDescent="0.2">
      <c r="A30" s="79">
        <v>1500</v>
      </c>
      <c r="B30" s="80">
        <v>20</v>
      </c>
      <c r="C30" s="81">
        <f t="shared" si="0"/>
        <v>152</v>
      </c>
      <c r="D30" s="82">
        <f t="shared" si="1"/>
        <v>19</v>
      </c>
      <c r="E30" s="83">
        <v>3</v>
      </c>
      <c r="F30" s="84">
        <f t="shared" si="2"/>
        <v>22</v>
      </c>
      <c r="G30" s="85">
        <f t="shared" si="3"/>
        <v>2.4444444444444446</v>
      </c>
      <c r="H30" s="86">
        <f t="shared" si="4"/>
        <v>3</v>
      </c>
      <c r="I30" s="87">
        <f t="shared" si="5"/>
        <v>2.5</v>
      </c>
      <c r="J30" s="88">
        <f t="shared" si="6"/>
        <v>715.22289655172403</v>
      </c>
      <c r="K30" s="90">
        <f t="shared" si="7"/>
        <v>270</v>
      </c>
      <c r="L30" s="89">
        <f t="shared" si="8"/>
        <v>500</v>
      </c>
      <c r="M30" s="90">
        <f t="shared" si="9"/>
        <v>1485.222896551724</v>
      </c>
      <c r="N30" s="88">
        <f t="shared" si="12"/>
        <v>370.89112989751436</v>
      </c>
      <c r="O30" s="91">
        <f t="shared" si="10"/>
        <v>1856.1140264492383</v>
      </c>
      <c r="P30" s="66">
        <v>15</v>
      </c>
      <c r="Q30" s="92">
        <f t="shared" si="11"/>
        <v>618.70467548307943</v>
      </c>
      <c r="R30" s="93"/>
    </row>
    <row r="31" spans="1:18" s="68" customFormat="1" x14ac:dyDescent="0.2">
      <c r="A31" s="79">
        <v>1600</v>
      </c>
      <c r="B31" s="80">
        <v>20</v>
      </c>
      <c r="C31" s="81">
        <f t="shared" si="0"/>
        <v>162</v>
      </c>
      <c r="D31" s="82">
        <f t="shared" si="1"/>
        <v>20.25</v>
      </c>
      <c r="E31" s="83">
        <v>3</v>
      </c>
      <c r="F31" s="84">
        <f t="shared" si="2"/>
        <v>23.25</v>
      </c>
      <c r="G31" s="85">
        <f t="shared" si="3"/>
        <v>2.5833333333333335</v>
      </c>
      <c r="H31" s="86">
        <f t="shared" si="4"/>
        <v>3</v>
      </c>
      <c r="I31" s="87">
        <f t="shared" si="5"/>
        <v>2.5</v>
      </c>
      <c r="J31" s="88">
        <f t="shared" si="6"/>
        <v>762.27703448275861</v>
      </c>
      <c r="K31" s="90">
        <f t="shared" si="7"/>
        <v>270</v>
      </c>
      <c r="L31" s="89">
        <f t="shared" si="8"/>
        <v>500</v>
      </c>
      <c r="M31" s="90">
        <f t="shared" si="9"/>
        <v>1532.2770344827586</v>
      </c>
      <c r="N31" s="88">
        <f t="shared" si="12"/>
        <v>382.64152939924134</v>
      </c>
      <c r="O31" s="91">
        <f t="shared" si="10"/>
        <v>1914.9185638819999</v>
      </c>
      <c r="P31" s="66">
        <v>16</v>
      </c>
      <c r="Q31" s="92">
        <f t="shared" si="11"/>
        <v>638.30618796066665</v>
      </c>
      <c r="R31" s="93"/>
    </row>
    <row r="32" spans="1:18" s="68" customFormat="1" x14ac:dyDescent="0.2">
      <c r="A32" s="79">
        <v>1700</v>
      </c>
      <c r="B32" s="80">
        <v>20</v>
      </c>
      <c r="C32" s="81">
        <f t="shared" si="0"/>
        <v>172</v>
      </c>
      <c r="D32" s="82">
        <f t="shared" si="1"/>
        <v>21.5</v>
      </c>
      <c r="E32" s="83">
        <v>3</v>
      </c>
      <c r="F32" s="84">
        <f t="shared" si="2"/>
        <v>24.5</v>
      </c>
      <c r="G32" s="85">
        <f t="shared" si="3"/>
        <v>2.7222222222222223</v>
      </c>
      <c r="H32" s="86">
        <f t="shared" si="4"/>
        <v>3</v>
      </c>
      <c r="I32" s="87">
        <f t="shared" si="5"/>
        <v>2.5</v>
      </c>
      <c r="J32" s="88">
        <f t="shared" si="6"/>
        <v>809.33117241379307</v>
      </c>
      <c r="K32" s="90">
        <f t="shared" si="7"/>
        <v>270</v>
      </c>
      <c r="L32" s="89">
        <f t="shared" si="8"/>
        <v>500</v>
      </c>
      <c r="M32" s="90">
        <f t="shared" si="9"/>
        <v>1579.331172413793</v>
      </c>
      <c r="N32" s="88">
        <f t="shared" si="12"/>
        <v>394.39192890096831</v>
      </c>
      <c r="O32" s="91">
        <f t="shared" si="10"/>
        <v>1973.7231013147612</v>
      </c>
      <c r="P32" s="66">
        <v>17</v>
      </c>
      <c r="Q32" s="92">
        <f t="shared" si="11"/>
        <v>657.90770043825376</v>
      </c>
      <c r="R32" s="93"/>
    </row>
    <row r="33" spans="1:18" s="68" customFormat="1" x14ac:dyDescent="0.2">
      <c r="A33" s="79">
        <v>1800</v>
      </c>
      <c r="B33" s="80">
        <v>20</v>
      </c>
      <c r="C33" s="81">
        <f t="shared" si="0"/>
        <v>182</v>
      </c>
      <c r="D33" s="82">
        <f t="shared" si="1"/>
        <v>22.75</v>
      </c>
      <c r="E33" s="83">
        <v>3</v>
      </c>
      <c r="F33" s="84">
        <f t="shared" si="2"/>
        <v>25.75</v>
      </c>
      <c r="G33" s="85">
        <f t="shared" si="3"/>
        <v>2.8611111111111112</v>
      </c>
      <c r="H33" s="86">
        <f t="shared" si="4"/>
        <v>3</v>
      </c>
      <c r="I33" s="87">
        <f t="shared" si="5"/>
        <v>2.5</v>
      </c>
      <c r="J33" s="88">
        <f t="shared" si="6"/>
        <v>856.38531034482753</v>
      </c>
      <c r="K33" s="90">
        <f t="shared" si="7"/>
        <v>270</v>
      </c>
      <c r="L33" s="89">
        <f t="shared" si="8"/>
        <v>500</v>
      </c>
      <c r="M33" s="90">
        <f t="shared" si="9"/>
        <v>1626.3853103448275</v>
      </c>
      <c r="N33" s="88">
        <f t="shared" si="12"/>
        <v>406.14232840269528</v>
      </c>
      <c r="O33" s="91">
        <f t="shared" si="10"/>
        <v>2032.5276387475228</v>
      </c>
      <c r="P33" s="66">
        <v>18</v>
      </c>
      <c r="Q33" s="92">
        <f t="shared" si="11"/>
        <v>677.50921291584098</v>
      </c>
      <c r="R33" s="93"/>
    </row>
    <row r="34" spans="1:18" s="68" customFormat="1" x14ac:dyDescent="0.2">
      <c r="A34" s="79">
        <v>1900</v>
      </c>
      <c r="B34" s="80">
        <v>20</v>
      </c>
      <c r="C34" s="81">
        <f t="shared" si="0"/>
        <v>192</v>
      </c>
      <c r="D34" s="82">
        <f t="shared" si="1"/>
        <v>24</v>
      </c>
      <c r="E34" s="83">
        <v>3</v>
      </c>
      <c r="F34" s="84">
        <f t="shared" si="2"/>
        <v>27</v>
      </c>
      <c r="G34" s="85">
        <f t="shared" si="3"/>
        <v>3</v>
      </c>
      <c r="H34" s="86">
        <f t="shared" si="4"/>
        <v>3</v>
      </c>
      <c r="I34" s="87">
        <f t="shared" si="5"/>
        <v>2.5</v>
      </c>
      <c r="J34" s="88">
        <f t="shared" si="6"/>
        <v>903.43944827586199</v>
      </c>
      <c r="K34" s="90">
        <f t="shared" si="7"/>
        <v>270</v>
      </c>
      <c r="L34" s="89">
        <f t="shared" si="8"/>
        <v>500</v>
      </c>
      <c r="M34" s="90">
        <f t="shared" si="9"/>
        <v>1673.4394482758621</v>
      </c>
      <c r="N34" s="88">
        <f t="shared" si="12"/>
        <v>417.89272790442226</v>
      </c>
      <c r="O34" s="91">
        <f t="shared" si="10"/>
        <v>2091.3321761802845</v>
      </c>
      <c r="P34" s="66">
        <v>19</v>
      </c>
      <c r="Q34" s="92">
        <f t="shared" si="11"/>
        <v>697.1107253934282</v>
      </c>
      <c r="R34" s="93"/>
    </row>
    <row r="35" spans="1:18" s="68" customFormat="1" x14ac:dyDescent="0.2">
      <c r="A35" s="79">
        <v>2000</v>
      </c>
      <c r="B35" s="80">
        <v>20</v>
      </c>
      <c r="C35" s="81">
        <f t="shared" si="0"/>
        <v>202</v>
      </c>
      <c r="D35" s="82">
        <f t="shared" si="1"/>
        <v>25.25</v>
      </c>
      <c r="E35" s="83">
        <v>3</v>
      </c>
      <c r="F35" s="84">
        <f t="shared" si="2"/>
        <v>28.25</v>
      </c>
      <c r="G35" s="85">
        <f t="shared" si="3"/>
        <v>3.1388888888888888</v>
      </c>
      <c r="H35" s="86">
        <f t="shared" si="4"/>
        <v>4</v>
      </c>
      <c r="I35" s="87">
        <f t="shared" si="5"/>
        <v>3.5</v>
      </c>
      <c r="J35" s="88">
        <f t="shared" si="6"/>
        <v>950.49358620689645</v>
      </c>
      <c r="K35" s="90">
        <f t="shared" si="7"/>
        <v>360</v>
      </c>
      <c r="L35" s="89">
        <f t="shared" si="8"/>
        <v>700</v>
      </c>
      <c r="M35" s="90">
        <f t="shared" si="9"/>
        <v>2010.4935862068965</v>
      </c>
      <c r="N35" s="88">
        <f t="shared" si="12"/>
        <v>502.06217502519684</v>
      </c>
      <c r="O35" s="91">
        <f t="shared" si="10"/>
        <v>2512.5557612320931</v>
      </c>
      <c r="P35" s="66">
        <v>20</v>
      </c>
      <c r="Q35" s="92">
        <f t="shared" si="11"/>
        <v>628.13894030802328</v>
      </c>
      <c r="R35" s="93"/>
    </row>
    <row r="36" spans="1:18" s="68" customFormat="1" x14ac:dyDescent="0.2">
      <c r="A36" s="79">
        <v>2100</v>
      </c>
      <c r="B36" s="80">
        <v>20</v>
      </c>
      <c r="C36" s="81">
        <f t="shared" si="0"/>
        <v>212</v>
      </c>
      <c r="D36" s="82">
        <f t="shared" si="1"/>
        <v>26.5</v>
      </c>
      <c r="E36" s="83">
        <v>3</v>
      </c>
      <c r="F36" s="84">
        <f t="shared" si="2"/>
        <v>29.5</v>
      </c>
      <c r="G36" s="85">
        <f t="shared" si="3"/>
        <v>3.2777777777777777</v>
      </c>
      <c r="H36" s="86">
        <f t="shared" si="4"/>
        <v>4</v>
      </c>
      <c r="I36" s="87">
        <f t="shared" si="5"/>
        <v>3.5</v>
      </c>
      <c r="J36" s="88">
        <f t="shared" si="6"/>
        <v>997.54772413793091</v>
      </c>
      <c r="K36" s="90">
        <f t="shared" si="7"/>
        <v>360</v>
      </c>
      <c r="L36" s="89">
        <f t="shared" si="8"/>
        <v>700</v>
      </c>
      <c r="M36" s="90">
        <f t="shared" si="9"/>
        <v>2057.5477241379308</v>
      </c>
      <c r="N36" s="88">
        <f t="shared" si="12"/>
        <v>513.81257452692375</v>
      </c>
      <c r="O36" s="91">
        <f t="shared" si="10"/>
        <v>2571.3602986648548</v>
      </c>
      <c r="P36" s="66">
        <v>21</v>
      </c>
      <c r="Q36" s="92">
        <f t="shared" si="11"/>
        <v>642.8400746662137</v>
      </c>
      <c r="R36" s="93"/>
    </row>
    <row r="37" spans="1:18" s="68" customFormat="1" ht="12" thickBot="1" x14ac:dyDescent="0.25">
      <c r="A37" s="95">
        <v>2200</v>
      </c>
      <c r="B37" s="96">
        <v>20</v>
      </c>
      <c r="C37" s="97">
        <f t="shared" si="0"/>
        <v>222</v>
      </c>
      <c r="D37" s="98">
        <f t="shared" si="1"/>
        <v>27.75</v>
      </c>
      <c r="E37" s="99">
        <v>3</v>
      </c>
      <c r="F37" s="100">
        <f t="shared" si="2"/>
        <v>30.75</v>
      </c>
      <c r="G37" s="101">
        <f t="shared" si="3"/>
        <v>3.4166666666666665</v>
      </c>
      <c r="H37" s="102">
        <f t="shared" si="4"/>
        <v>4</v>
      </c>
      <c r="I37" s="103">
        <f t="shared" si="5"/>
        <v>3.5</v>
      </c>
      <c r="J37" s="104">
        <f t="shared" si="6"/>
        <v>1044.6018620689654</v>
      </c>
      <c r="K37" s="105">
        <f t="shared" si="7"/>
        <v>360</v>
      </c>
      <c r="L37" s="106">
        <f t="shared" si="8"/>
        <v>700</v>
      </c>
      <c r="M37" s="105">
        <f t="shared" si="9"/>
        <v>2104.6018620689656</v>
      </c>
      <c r="N37" s="88">
        <f t="shared" si="12"/>
        <v>525.56297402865084</v>
      </c>
      <c r="O37" s="107">
        <f t="shared" si="10"/>
        <v>2630.1648360976164</v>
      </c>
      <c r="P37" s="66">
        <v>22</v>
      </c>
      <c r="Q37" s="92">
        <f t="shared" si="11"/>
        <v>657.54120902440411</v>
      </c>
      <c r="R37" s="93"/>
    </row>
    <row r="38" spans="1:18" s="108" customFormat="1" x14ac:dyDescent="0.2">
      <c r="D38" s="109"/>
      <c r="E38" s="110"/>
      <c r="F38" s="111"/>
      <c r="G38" s="112"/>
      <c r="H38" s="112"/>
      <c r="I38" s="112"/>
      <c r="J38" s="112"/>
      <c r="N38" s="68"/>
      <c r="O38" s="113"/>
      <c r="P38" s="114"/>
      <c r="Q38" s="115">
        <f>SUM(Q16:Q37)</f>
        <v>12328.661789783138</v>
      </c>
    </row>
    <row r="39" spans="1:18" x14ac:dyDescent="0.2">
      <c r="O39" s="116"/>
      <c r="Q39" s="115">
        <f>Q38/22</f>
        <v>560.39371771741537</v>
      </c>
    </row>
    <row r="44" spans="1:18" x14ac:dyDescent="0.2">
      <c r="D44" s="38"/>
      <c r="E44" s="38"/>
      <c r="F44" s="38"/>
      <c r="G44" s="38"/>
      <c r="H44" s="38"/>
      <c r="I44" s="38"/>
      <c r="J44" s="38"/>
      <c r="N44" s="38"/>
      <c r="O44" s="38"/>
      <c r="P44" s="38"/>
      <c r="Q44" s="38"/>
    </row>
    <row r="45" spans="1:18" x14ac:dyDescent="0.2">
      <c r="D45" s="38"/>
      <c r="E45" s="38"/>
      <c r="F45" s="38"/>
      <c r="G45" s="38"/>
      <c r="H45" s="38"/>
      <c r="I45" s="38"/>
      <c r="J45" s="38"/>
      <c r="N45" s="38"/>
      <c r="O45" s="38"/>
      <c r="P45" s="38"/>
      <c r="Q45" s="38"/>
    </row>
    <row r="46" spans="1:18" x14ac:dyDescent="0.2">
      <c r="D46" s="38"/>
      <c r="E46" s="38"/>
      <c r="F46" s="38"/>
      <c r="G46" s="38"/>
      <c r="H46" s="38"/>
      <c r="I46" s="38"/>
      <c r="J46" s="38"/>
      <c r="N46" s="38"/>
      <c r="O46" s="38"/>
      <c r="P46" s="38"/>
      <c r="Q46" s="38"/>
    </row>
    <row r="47" spans="1:18" x14ac:dyDescent="0.2">
      <c r="D47" s="38"/>
      <c r="E47" s="38"/>
      <c r="F47" s="38"/>
      <c r="G47" s="38"/>
      <c r="H47" s="38"/>
      <c r="I47" s="38"/>
      <c r="J47" s="38"/>
      <c r="N47" s="38"/>
      <c r="O47" s="38"/>
      <c r="P47" s="38"/>
      <c r="Q47" s="38"/>
    </row>
    <row r="48" spans="1:18" x14ac:dyDescent="0.2">
      <c r="D48" s="38"/>
      <c r="E48" s="38"/>
      <c r="F48" s="38"/>
      <c r="G48" s="38"/>
      <c r="H48" s="38"/>
      <c r="I48" s="38"/>
      <c r="J48" s="38"/>
      <c r="N48" s="38"/>
      <c r="O48" s="38"/>
      <c r="P48" s="38"/>
      <c r="Q48" s="38"/>
    </row>
    <row r="49" spans="4:17" x14ac:dyDescent="0.2">
      <c r="D49" s="38"/>
      <c r="E49" s="38"/>
      <c r="F49" s="38"/>
      <c r="G49" s="38"/>
      <c r="H49" s="38"/>
      <c r="I49" s="38"/>
      <c r="J49" s="38"/>
      <c r="N49" s="38"/>
      <c r="O49" s="38"/>
      <c r="P49" s="38"/>
      <c r="Q49" s="38"/>
    </row>
    <row r="51" spans="4:17" x14ac:dyDescent="0.2">
      <c r="D51" s="38"/>
      <c r="E51" s="38"/>
      <c r="F51" s="38"/>
      <c r="G51" s="38"/>
      <c r="H51" s="38"/>
      <c r="I51" s="38"/>
      <c r="J51" s="38"/>
      <c r="N51" s="38"/>
      <c r="O51" s="38"/>
      <c r="P51" s="38"/>
      <c r="Q51" s="38"/>
    </row>
  </sheetData>
  <mergeCells count="10">
    <mergeCell ref="A1:O1"/>
    <mergeCell ref="A2:O2"/>
    <mergeCell ref="A10:E10"/>
    <mergeCell ref="A4:F4"/>
    <mergeCell ref="A11:E11"/>
    <mergeCell ref="A9:E9"/>
    <mergeCell ref="A8:E8"/>
    <mergeCell ref="A7:E7"/>
    <mergeCell ref="A6:E6"/>
    <mergeCell ref="A5:E5"/>
  </mergeCells>
  <pageMargins left="0.78740157480314965" right="0.78740157480314965" top="0.98425196850393704" bottom="0.98425196850393704" header="0.51181102362204722" footer="0.51181102362204722"/>
  <pageSetup paperSize="9" scale="7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"/>
  <sheetViews>
    <sheetView view="pageBreakPreview" zoomScale="90" zoomScaleNormal="100" zoomScaleSheetLayoutView="90" workbookViewId="0">
      <selection activeCell="N17" sqref="N17"/>
    </sheetView>
  </sheetViews>
  <sheetFormatPr defaultRowHeight="11.25" x14ac:dyDescent="0.2"/>
  <cols>
    <col min="1" max="1" width="18.33203125" style="38" customWidth="1"/>
    <col min="2" max="2" width="10.83203125" style="38" bestFit="1" customWidth="1"/>
    <col min="3" max="3" width="11.1640625" style="38" bestFit="1" customWidth="1"/>
    <col min="4" max="4" width="10.1640625" style="53" bestFit="1" customWidth="1"/>
    <col min="5" max="5" width="10.33203125" style="54" bestFit="1" customWidth="1"/>
    <col min="6" max="6" width="11.83203125" style="55" bestFit="1" customWidth="1"/>
    <col min="7" max="7" width="12" style="48" bestFit="1" customWidth="1"/>
    <col min="8" max="8" width="10.33203125" style="48" bestFit="1" customWidth="1"/>
    <col min="9" max="9" width="11.33203125" style="48" bestFit="1" customWidth="1"/>
    <col min="10" max="10" width="11.5" style="48" bestFit="1" customWidth="1"/>
    <col min="11" max="11" width="10.5" style="38" bestFit="1" customWidth="1"/>
    <col min="12" max="12" width="10.83203125" style="38" bestFit="1" customWidth="1"/>
    <col min="13" max="13" width="12.33203125" style="38" bestFit="1" customWidth="1"/>
    <col min="14" max="14" width="10.83203125" style="40" bestFit="1" customWidth="1"/>
    <col min="15" max="15" width="14.1640625" style="39" bestFit="1" customWidth="1"/>
    <col min="16" max="16" width="6.1640625" style="41" bestFit="1" customWidth="1"/>
    <col min="17" max="17" width="21.5" style="42" bestFit="1" customWidth="1"/>
    <col min="18" max="16384" width="9.33203125" style="38"/>
  </cols>
  <sheetData>
    <row r="1" spans="1:17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36"/>
      <c r="Q1" s="37"/>
    </row>
    <row r="2" spans="1:17" x14ac:dyDescent="0.2">
      <c r="A2" s="165" t="s">
        <v>69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36"/>
      <c r="Q2" s="37"/>
    </row>
    <row r="3" spans="1:17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7" s="44" customFormat="1" x14ac:dyDescent="0.2">
      <c r="A4" s="169" t="s">
        <v>64</v>
      </c>
      <c r="B4" s="169"/>
      <c r="C4" s="169"/>
      <c r="D4" s="169"/>
      <c r="E4" s="169"/>
      <c r="F4" s="169"/>
      <c r="G4" s="43"/>
      <c r="H4" s="43"/>
      <c r="I4" s="43"/>
      <c r="J4" s="43"/>
      <c r="N4" s="40"/>
      <c r="O4" s="40"/>
      <c r="P4" s="45"/>
      <c r="Q4" s="46"/>
    </row>
    <row r="5" spans="1:17" x14ac:dyDescent="0.2">
      <c r="A5" s="166" t="s">
        <v>63</v>
      </c>
      <c r="B5" s="167"/>
      <c r="C5" s="167"/>
      <c r="D5" s="167"/>
      <c r="E5" s="168"/>
      <c r="F5" s="47">
        <v>80</v>
      </c>
    </row>
    <row r="6" spans="1:17" x14ac:dyDescent="0.2">
      <c r="A6" s="166" t="s">
        <v>62</v>
      </c>
      <c r="B6" s="167"/>
      <c r="C6" s="167"/>
      <c r="D6" s="167"/>
      <c r="E6" s="168"/>
      <c r="F6" s="47">
        <v>3</v>
      </c>
    </row>
    <row r="7" spans="1:17" x14ac:dyDescent="0.2">
      <c r="A7" s="166" t="s">
        <v>61</v>
      </c>
      <c r="B7" s="167"/>
      <c r="C7" s="167"/>
      <c r="D7" s="167"/>
      <c r="E7" s="168"/>
      <c r="F7" s="47">
        <v>90</v>
      </c>
    </row>
    <row r="8" spans="1:17" x14ac:dyDescent="0.2">
      <c r="A8" s="166" t="s">
        <v>60</v>
      </c>
      <c r="B8" s="167"/>
      <c r="C8" s="167"/>
      <c r="D8" s="167"/>
      <c r="E8" s="168"/>
      <c r="F8" s="49" t="s">
        <v>59</v>
      </c>
    </row>
    <row r="9" spans="1:17" x14ac:dyDescent="0.2">
      <c r="A9" s="166" t="s">
        <v>58</v>
      </c>
      <c r="B9" s="167"/>
      <c r="C9" s="167"/>
      <c r="D9" s="167"/>
      <c r="E9" s="168"/>
      <c r="F9" s="51">
        <f>'Valor médio gasolina comum'!C35</f>
        <v>4.7054137931034479</v>
      </c>
    </row>
    <row r="10" spans="1:17" x14ac:dyDescent="0.2">
      <c r="A10" s="166" t="s">
        <v>57</v>
      </c>
      <c r="B10" s="167"/>
      <c r="C10" s="167"/>
      <c r="D10" s="167"/>
      <c r="E10" s="168"/>
      <c r="F10" s="47">
        <v>10</v>
      </c>
    </row>
    <row r="11" spans="1:17" x14ac:dyDescent="0.2">
      <c r="A11" s="166" t="s">
        <v>56</v>
      </c>
      <c r="B11" s="167"/>
      <c r="C11" s="167"/>
      <c r="D11" s="167"/>
      <c r="E11" s="168"/>
      <c r="F11" s="52">
        <v>200</v>
      </c>
    </row>
    <row r="13" spans="1:17" x14ac:dyDescent="0.2">
      <c r="A13" s="57"/>
      <c r="B13" s="57"/>
      <c r="C13" s="57"/>
    </row>
    <row r="14" spans="1:17" ht="12" thickBot="1" x14ac:dyDescent="0.25">
      <c r="A14" s="57"/>
      <c r="B14" s="57"/>
      <c r="C14" s="57"/>
    </row>
    <row r="15" spans="1:17" s="68" customFormat="1" ht="90" x14ac:dyDescent="0.2">
      <c r="A15" s="58" t="s">
        <v>55</v>
      </c>
      <c r="B15" s="117" t="s">
        <v>68</v>
      </c>
      <c r="C15" s="59" t="s">
        <v>53</v>
      </c>
      <c r="D15" s="60" t="s">
        <v>123</v>
      </c>
      <c r="E15" s="118" t="s">
        <v>67</v>
      </c>
      <c r="F15" s="62" t="s">
        <v>51</v>
      </c>
      <c r="G15" s="63" t="s">
        <v>50</v>
      </c>
      <c r="H15" s="63" t="s">
        <v>49</v>
      </c>
      <c r="I15" s="63" t="s">
        <v>48</v>
      </c>
      <c r="J15" s="59" t="s">
        <v>47</v>
      </c>
      <c r="K15" s="59" t="s">
        <v>46</v>
      </c>
      <c r="L15" s="59" t="s">
        <v>124</v>
      </c>
      <c r="M15" s="59" t="s">
        <v>45</v>
      </c>
      <c r="N15" s="64" t="s">
        <v>122</v>
      </c>
      <c r="O15" s="65" t="s">
        <v>44</v>
      </c>
      <c r="P15" s="66"/>
      <c r="Q15" s="67" t="s">
        <v>43</v>
      </c>
    </row>
    <row r="16" spans="1:17" s="78" customFormat="1" x14ac:dyDescent="0.2">
      <c r="A16" s="69" t="s">
        <v>42</v>
      </c>
      <c r="B16" s="70" t="s">
        <v>42</v>
      </c>
      <c r="C16" s="70" t="s">
        <v>41</v>
      </c>
      <c r="D16" s="71" t="s">
        <v>40</v>
      </c>
      <c r="E16" s="72" t="s">
        <v>40</v>
      </c>
      <c r="F16" s="73" t="s">
        <v>40</v>
      </c>
      <c r="G16" s="71" t="s">
        <v>39</v>
      </c>
      <c r="H16" s="71" t="s">
        <v>38</v>
      </c>
      <c r="I16" s="70" t="s">
        <v>38</v>
      </c>
      <c r="J16" s="70" t="s">
        <v>37</v>
      </c>
      <c r="K16" s="70" t="s">
        <v>37</v>
      </c>
      <c r="L16" s="70" t="s">
        <v>37</v>
      </c>
      <c r="M16" s="70" t="s">
        <v>37</v>
      </c>
      <c r="N16" s="74">
        <f>Postos!C128</f>
        <v>0.24972085385878495</v>
      </c>
      <c r="O16" s="75" t="s">
        <v>37</v>
      </c>
      <c r="P16" s="76"/>
      <c r="Q16" s="77"/>
    </row>
    <row r="17" spans="1:18" s="78" customFormat="1" x14ac:dyDescent="0.2">
      <c r="A17" s="79">
        <v>100</v>
      </c>
      <c r="B17" s="80">
        <v>40</v>
      </c>
      <c r="C17" s="81">
        <f t="shared" ref="C17:C46" si="0">((A17+B17)/10)</f>
        <v>14</v>
      </c>
      <c r="D17" s="82">
        <f t="shared" ref="D17:D46" si="1">((A17+B17)/80)</f>
        <v>1.75</v>
      </c>
      <c r="E17" s="83">
        <v>6</v>
      </c>
      <c r="F17" s="84">
        <f t="shared" ref="F17:F46" si="2">D17+E17</f>
        <v>7.75</v>
      </c>
      <c r="G17" s="85">
        <f t="shared" ref="G17:G46" si="3">F17/9</f>
        <v>0.86111111111111116</v>
      </c>
      <c r="H17" s="119">
        <f t="shared" ref="H17:H46" si="4">ROUNDUP(G17,0)</f>
        <v>1</v>
      </c>
      <c r="I17" s="87">
        <f t="shared" ref="I17:I46" si="5">H17-0.5</f>
        <v>0.5</v>
      </c>
      <c r="J17" s="88">
        <f t="shared" ref="J17:J46" si="6">C17*$F$9</f>
        <v>65.875793103448274</v>
      </c>
      <c r="K17" s="89">
        <f t="shared" ref="K17:K46" si="7">H17*$F$7</f>
        <v>90</v>
      </c>
      <c r="L17" s="89">
        <f t="shared" ref="L17:L46" si="8">(I17*$F$11)*1</f>
        <v>100</v>
      </c>
      <c r="M17" s="90">
        <f t="shared" ref="M17:M46" si="9">J17+K17+L17</f>
        <v>255.87579310344827</v>
      </c>
      <c r="N17" s="88">
        <f>M17*$N$16</f>
        <v>63.897521535586904</v>
      </c>
      <c r="O17" s="91">
        <f t="shared" ref="O17:O46" si="10">M17+N17</f>
        <v>319.77331463903516</v>
      </c>
      <c r="P17" s="66">
        <v>1</v>
      </c>
      <c r="Q17" s="92">
        <f t="shared" ref="Q17:Q46" si="11">O17/H17</f>
        <v>319.77331463903516</v>
      </c>
      <c r="R17" s="93"/>
    </row>
    <row r="18" spans="1:18" s="78" customFormat="1" x14ac:dyDescent="0.2">
      <c r="A18" s="79">
        <v>200</v>
      </c>
      <c r="B18" s="80">
        <v>40</v>
      </c>
      <c r="C18" s="81">
        <f t="shared" si="0"/>
        <v>24</v>
      </c>
      <c r="D18" s="82">
        <f t="shared" si="1"/>
        <v>3</v>
      </c>
      <c r="E18" s="83">
        <v>6</v>
      </c>
      <c r="F18" s="84">
        <f t="shared" si="2"/>
        <v>9</v>
      </c>
      <c r="G18" s="85">
        <f t="shared" si="3"/>
        <v>1</v>
      </c>
      <c r="H18" s="119">
        <f t="shared" si="4"/>
        <v>1</v>
      </c>
      <c r="I18" s="87">
        <f t="shared" si="5"/>
        <v>0.5</v>
      </c>
      <c r="J18" s="88">
        <f t="shared" si="6"/>
        <v>112.92993103448275</v>
      </c>
      <c r="K18" s="89">
        <f t="shared" si="7"/>
        <v>90</v>
      </c>
      <c r="L18" s="89">
        <f t="shared" si="8"/>
        <v>100</v>
      </c>
      <c r="M18" s="90">
        <f t="shared" si="9"/>
        <v>302.92993103448276</v>
      </c>
      <c r="N18" s="88">
        <f t="shared" ref="N18:N46" si="12">M18*$N$16</f>
        <v>75.647921037313878</v>
      </c>
      <c r="O18" s="91">
        <f t="shared" si="10"/>
        <v>378.57785207179666</v>
      </c>
      <c r="P18" s="66">
        <v>2</v>
      </c>
      <c r="Q18" s="92">
        <f t="shared" si="11"/>
        <v>378.57785207179666</v>
      </c>
      <c r="R18" s="93"/>
    </row>
    <row r="19" spans="1:18" s="68" customFormat="1" x14ac:dyDescent="0.2">
      <c r="A19" s="79">
        <v>300</v>
      </c>
      <c r="B19" s="80">
        <v>40</v>
      </c>
      <c r="C19" s="81">
        <f t="shared" si="0"/>
        <v>34</v>
      </c>
      <c r="D19" s="82">
        <f t="shared" si="1"/>
        <v>4.25</v>
      </c>
      <c r="E19" s="83">
        <v>6</v>
      </c>
      <c r="F19" s="84">
        <f t="shared" si="2"/>
        <v>10.25</v>
      </c>
      <c r="G19" s="85">
        <f t="shared" si="3"/>
        <v>1.1388888888888888</v>
      </c>
      <c r="H19" s="119">
        <f t="shared" si="4"/>
        <v>2</v>
      </c>
      <c r="I19" s="87">
        <f t="shared" si="5"/>
        <v>1.5</v>
      </c>
      <c r="J19" s="88">
        <f t="shared" si="6"/>
        <v>159.98406896551722</v>
      </c>
      <c r="K19" s="90">
        <f t="shared" si="7"/>
        <v>180</v>
      </c>
      <c r="L19" s="89">
        <f t="shared" si="8"/>
        <v>300</v>
      </c>
      <c r="M19" s="90">
        <f t="shared" si="9"/>
        <v>639.98406896551728</v>
      </c>
      <c r="N19" s="88">
        <f t="shared" si="12"/>
        <v>159.8173681580885</v>
      </c>
      <c r="O19" s="91">
        <f t="shared" si="10"/>
        <v>799.80143712360575</v>
      </c>
      <c r="P19" s="66">
        <v>3</v>
      </c>
      <c r="Q19" s="92">
        <f t="shared" si="11"/>
        <v>399.90071856180288</v>
      </c>
      <c r="R19" s="94"/>
    </row>
    <row r="20" spans="1:18" s="68" customFormat="1" x14ac:dyDescent="0.2">
      <c r="A20" s="79">
        <v>400</v>
      </c>
      <c r="B20" s="80">
        <v>40</v>
      </c>
      <c r="C20" s="81">
        <f t="shared" si="0"/>
        <v>44</v>
      </c>
      <c r="D20" s="82">
        <f t="shared" si="1"/>
        <v>5.5</v>
      </c>
      <c r="E20" s="83">
        <v>6</v>
      </c>
      <c r="F20" s="84">
        <f t="shared" si="2"/>
        <v>11.5</v>
      </c>
      <c r="G20" s="85">
        <f t="shared" si="3"/>
        <v>1.2777777777777777</v>
      </c>
      <c r="H20" s="119">
        <f t="shared" si="4"/>
        <v>2</v>
      </c>
      <c r="I20" s="87">
        <f t="shared" si="5"/>
        <v>1.5</v>
      </c>
      <c r="J20" s="88">
        <f t="shared" si="6"/>
        <v>207.03820689655171</v>
      </c>
      <c r="K20" s="90">
        <f t="shared" si="7"/>
        <v>180</v>
      </c>
      <c r="L20" s="89">
        <f t="shared" si="8"/>
        <v>300</v>
      </c>
      <c r="M20" s="90">
        <f t="shared" si="9"/>
        <v>687.03820689655174</v>
      </c>
      <c r="N20" s="88">
        <f t="shared" si="12"/>
        <v>171.56776765981544</v>
      </c>
      <c r="O20" s="91">
        <f t="shared" si="10"/>
        <v>858.60597455636719</v>
      </c>
      <c r="P20" s="66">
        <v>4</v>
      </c>
      <c r="Q20" s="92">
        <f t="shared" si="11"/>
        <v>429.30298727818359</v>
      </c>
      <c r="R20" s="93"/>
    </row>
    <row r="21" spans="1:18" s="68" customFormat="1" x14ac:dyDescent="0.2">
      <c r="A21" s="79">
        <v>500</v>
      </c>
      <c r="B21" s="80">
        <v>40</v>
      </c>
      <c r="C21" s="81">
        <f t="shared" si="0"/>
        <v>54</v>
      </c>
      <c r="D21" s="82">
        <f t="shared" si="1"/>
        <v>6.75</v>
      </c>
      <c r="E21" s="83">
        <v>6</v>
      </c>
      <c r="F21" s="84">
        <f t="shared" si="2"/>
        <v>12.75</v>
      </c>
      <c r="G21" s="85">
        <f t="shared" si="3"/>
        <v>1.4166666666666667</v>
      </c>
      <c r="H21" s="119">
        <f t="shared" si="4"/>
        <v>2</v>
      </c>
      <c r="I21" s="87">
        <f t="shared" si="5"/>
        <v>1.5</v>
      </c>
      <c r="J21" s="88">
        <f t="shared" si="6"/>
        <v>254.09234482758617</v>
      </c>
      <c r="K21" s="90">
        <f t="shared" si="7"/>
        <v>180</v>
      </c>
      <c r="L21" s="89">
        <f t="shared" si="8"/>
        <v>300</v>
      </c>
      <c r="M21" s="90">
        <f t="shared" si="9"/>
        <v>734.0923448275862</v>
      </c>
      <c r="N21" s="88">
        <f t="shared" si="12"/>
        <v>183.31816716154242</v>
      </c>
      <c r="O21" s="91">
        <f t="shared" si="10"/>
        <v>917.41051198912862</v>
      </c>
      <c r="P21" s="66">
        <v>5</v>
      </c>
      <c r="Q21" s="92">
        <f t="shared" si="11"/>
        <v>458.70525599456431</v>
      </c>
      <c r="R21" s="93"/>
    </row>
    <row r="22" spans="1:18" s="68" customFormat="1" x14ac:dyDescent="0.2">
      <c r="A22" s="79">
        <v>600</v>
      </c>
      <c r="B22" s="80">
        <v>40</v>
      </c>
      <c r="C22" s="81">
        <f t="shared" si="0"/>
        <v>64</v>
      </c>
      <c r="D22" s="82">
        <f t="shared" si="1"/>
        <v>8</v>
      </c>
      <c r="E22" s="83">
        <v>6</v>
      </c>
      <c r="F22" s="84">
        <f t="shared" si="2"/>
        <v>14</v>
      </c>
      <c r="G22" s="85">
        <f t="shared" si="3"/>
        <v>1.5555555555555556</v>
      </c>
      <c r="H22" s="119">
        <f t="shared" si="4"/>
        <v>2</v>
      </c>
      <c r="I22" s="87">
        <f t="shared" si="5"/>
        <v>1.5</v>
      </c>
      <c r="J22" s="88">
        <f t="shared" si="6"/>
        <v>301.14648275862066</v>
      </c>
      <c r="K22" s="90">
        <f t="shared" si="7"/>
        <v>180</v>
      </c>
      <c r="L22" s="89">
        <f t="shared" si="8"/>
        <v>300</v>
      </c>
      <c r="M22" s="90">
        <f t="shared" si="9"/>
        <v>781.14648275862066</v>
      </c>
      <c r="N22" s="88">
        <f t="shared" si="12"/>
        <v>195.06856666326939</v>
      </c>
      <c r="O22" s="91">
        <f t="shared" si="10"/>
        <v>976.21504942189006</v>
      </c>
      <c r="P22" s="66">
        <v>6</v>
      </c>
      <c r="Q22" s="92">
        <f t="shared" si="11"/>
        <v>488.10752471094503</v>
      </c>
      <c r="R22" s="93"/>
    </row>
    <row r="23" spans="1:18" s="68" customFormat="1" x14ac:dyDescent="0.2">
      <c r="A23" s="79">
        <v>700</v>
      </c>
      <c r="B23" s="80">
        <v>40</v>
      </c>
      <c r="C23" s="81">
        <f t="shared" si="0"/>
        <v>74</v>
      </c>
      <c r="D23" s="82">
        <f t="shared" si="1"/>
        <v>9.25</v>
      </c>
      <c r="E23" s="83">
        <v>6</v>
      </c>
      <c r="F23" s="84">
        <f t="shared" si="2"/>
        <v>15.25</v>
      </c>
      <c r="G23" s="85">
        <f t="shared" si="3"/>
        <v>1.6944444444444444</v>
      </c>
      <c r="H23" s="119">
        <f t="shared" si="4"/>
        <v>2</v>
      </c>
      <c r="I23" s="87">
        <f t="shared" si="5"/>
        <v>1.5</v>
      </c>
      <c r="J23" s="88">
        <f t="shared" si="6"/>
        <v>348.20062068965512</v>
      </c>
      <c r="K23" s="90">
        <f t="shared" si="7"/>
        <v>180</v>
      </c>
      <c r="L23" s="89">
        <f t="shared" si="8"/>
        <v>300</v>
      </c>
      <c r="M23" s="90">
        <f t="shared" si="9"/>
        <v>828.20062068965512</v>
      </c>
      <c r="N23" s="88">
        <f t="shared" si="12"/>
        <v>206.81896616499637</v>
      </c>
      <c r="O23" s="91">
        <f t="shared" si="10"/>
        <v>1035.0195868546516</v>
      </c>
      <c r="P23" s="66">
        <v>7</v>
      </c>
      <c r="Q23" s="92">
        <f t="shared" si="11"/>
        <v>517.5097934273258</v>
      </c>
      <c r="R23" s="93"/>
    </row>
    <row r="24" spans="1:18" s="68" customFormat="1" x14ac:dyDescent="0.2">
      <c r="A24" s="79">
        <v>800</v>
      </c>
      <c r="B24" s="80">
        <v>40</v>
      </c>
      <c r="C24" s="81">
        <f t="shared" si="0"/>
        <v>84</v>
      </c>
      <c r="D24" s="82">
        <f t="shared" si="1"/>
        <v>10.5</v>
      </c>
      <c r="E24" s="83">
        <v>6</v>
      </c>
      <c r="F24" s="84">
        <f t="shared" si="2"/>
        <v>16.5</v>
      </c>
      <c r="G24" s="85">
        <f t="shared" si="3"/>
        <v>1.8333333333333333</v>
      </c>
      <c r="H24" s="119">
        <f t="shared" si="4"/>
        <v>2</v>
      </c>
      <c r="I24" s="87">
        <f t="shared" si="5"/>
        <v>1.5</v>
      </c>
      <c r="J24" s="88">
        <f t="shared" si="6"/>
        <v>395.25475862068964</v>
      </c>
      <c r="K24" s="90">
        <f t="shared" si="7"/>
        <v>180</v>
      </c>
      <c r="L24" s="89">
        <f t="shared" si="8"/>
        <v>300</v>
      </c>
      <c r="M24" s="90">
        <f t="shared" si="9"/>
        <v>875.2547586206897</v>
      </c>
      <c r="N24" s="88">
        <f t="shared" si="12"/>
        <v>218.56936566672334</v>
      </c>
      <c r="O24" s="91">
        <f t="shared" si="10"/>
        <v>1093.824124287413</v>
      </c>
      <c r="P24" s="66">
        <v>8</v>
      </c>
      <c r="Q24" s="92">
        <f t="shared" si="11"/>
        <v>546.91206214370652</v>
      </c>
      <c r="R24" s="93"/>
    </row>
    <row r="25" spans="1:18" s="68" customFormat="1" x14ac:dyDescent="0.2">
      <c r="A25" s="79">
        <v>900</v>
      </c>
      <c r="B25" s="80">
        <v>40</v>
      </c>
      <c r="C25" s="81">
        <f t="shared" si="0"/>
        <v>94</v>
      </c>
      <c r="D25" s="82">
        <f t="shared" si="1"/>
        <v>11.75</v>
      </c>
      <c r="E25" s="83">
        <v>6</v>
      </c>
      <c r="F25" s="84">
        <f t="shared" si="2"/>
        <v>17.75</v>
      </c>
      <c r="G25" s="85">
        <f t="shared" si="3"/>
        <v>1.9722222222222223</v>
      </c>
      <c r="H25" s="119">
        <f t="shared" si="4"/>
        <v>2</v>
      </c>
      <c r="I25" s="87">
        <f t="shared" si="5"/>
        <v>1.5</v>
      </c>
      <c r="J25" s="88">
        <f t="shared" si="6"/>
        <v>442.3088965517241</v>
      </c>
      <c r="K25" s="90">
        <f t="shared" si="7"/>
        <v>180</v>
      </c>
      <c r="L25" s="89">
        <f t="shared" si="8"/>
        <v>300</v>
      </c>
      <c r="M25" s="90">
        <f t="shared" si="9"/>
        <v>922.30889655172405</v>
      </c>
      <c r="N25" s="88">
        <f t="shared" si="12"/>
        <v>230.31976516845029</v>
      </c>
      <c r="O25" s="91">
        <f t="shared" si="10"/>
        <v>1152.6286617201743</v>
      </c>
      <c r="P25" s="66">
        <v>9</v>
      </c>
      <c r="Q25" s="92">
        <f t="shared" si="11"/>
        <v>576.31433086008713</v>
      </c>
      <c r="R25" s="93"/>
    </row>
    <row r="26" spans="1:18" s="68" customFormat="1" x14ac:dyDescent="0.2">
      <c r="A26" s="79">
        <v>1000</v>
      </c>
      <c r="B26" s="80">
        <v>40</v>
      </c>
      <c r="C26" s="81">
        <f t="shared" si="0"/>
        <v>104</v>
      </c>
      <c r="D26" s="82">
        <f t="shared" si="1"/>
        <v>13</v>
      </c>
      <c r="E26" s="83">
        <v>6</v>
      </c>
      <c r="F26" s="84">
        <f t="shared" si="2"/>
        <v>19</v>
      </c>
      <c r="G26" s="85">
        <f t="shared" si="3"/>
        <v>2.1111111111111112</v>
      </c>
      <c r="H26" s="119">
        <f t="shared" si="4"/>
        <v>3</v>
      </c>
      <c r="I26" s="87">
        <f t="shared" si="5"/>
        <v>2.5</v>
      </c>
      <c r="J26" s="88">
        <f t="shared" si="6"/>
        <v>489.36303448275856</v>
      </c>
      <c r="K26" s="90">
        <f t="shared" si="7"/>
        <v>270</v>
      </c>
      <c r="L26" s="89">
        <f t="shared" si="8"/>
        <v>500</v>
      </c>
      <c r="M26" s="90">
        <f t="shared" si="9"/>
        <v>1259.3630344827586</v>
      </c>
      <c r="N26" s="88">
        <f t="shared" si="12"/>
        <v>314.48921228922489</v>
      </c>
      <c r="O26" s="91">
        <f t="shared" si="10"/>
        <v>1573.8522467719836</v>
      </c>
      <c r="P26" s="66">
        <v>10</v>
      </c>
      <c r="Q26" s="92">
        <f t="shared" si="11"/>
        <v>524.61741559066115</v>
      </c>
      <c r="R26" s="93"/>
    </row>
    <row r="27" spans="1:18" s="68" customFormat="1" x14ac:dyDescent="0.2">
      <c r="A27" s="79">
        <v>1100</v>
      </c>
      <c r="B27" s="80">
        <v>40</v>
      </c>
      <c r="C27" s="81">
        <f t="shared" si="0"/>
        <v>114</v>
      </c>
      <c r="D27" s="82">
        <f t="shared" si="1"/>
        <v>14.25</v>
      </c>
      <c r="E27" s="83">
        <v>6</v>
      </c>
      <c r="F27" s="84">
        <f t="shared" si="2"/>
        <v>20.25</v>
      </c>
      <c r="G27" s="85">
        <f t="shared" si="3"/>
        <v>2.25</v>
      </c>
      <c r="H27" s="119">
        <f t="shared" si="4"/>
        <v>3</v>
      </c>
      <c r="I27" s="87">
        <f t="shared" si="5"/>
        <v>2.5</v>
      </c>
      <c r="J27" s="88">
        <f t="shared" si="6"/>
        <v>536.41717241379308</v>
      </c>
      <c r="K27" s="90">
        <f t="shared" si="7"/>
        <v>270</v>
      </c>
      <c r="L27" s="89">
        <f t="shared" si="8"/>
        <v>500</v>
      </c>
      <c r="M27" s="90">
        <f t="shared" si="9"/>
        <v>1306.4171724137932</v>
      </c>
      <c r="N27" s="88">
        <f t="shared" si="12"/>
        <v>326.23961179095193</v>
      </c>
      <c r="O27" s="91">
        <f t="shared" si="10"/>
        <v>1632.6567842047452</v>
      </c>
      <c r="P27" s="66">
        <v>11</v>
      </c>
      <c r="Q27" s="92">
        <f t="shared" si="11"/>
        <v>544.21892806824837</v>
      </c>
      <c r="R27" s="93"/>
    </row>
    <row r="28" spans="1:18" s="68" customFormat="1" x14ac:dyDescent="0.2">
      <c r="A28" s="79">
        <v>1200</v>
      </c>
      <c r="B28" s="80">
        <v>40</v>
      </c>
      <c r="C28" s="81">
        <f t="shared" si="0"/>
        <v>124</v>
      </c>
      <c r="D28" s="82">
        <f t="shared" si="1"/>
        <v>15.5</v>
      </c>
      <c r="E28" s="83">
        <v>6</v>
      </c>
      <c r="F28" s="84">
        <f t="shared" si="2"/>
        <v>21.5</v>
      </c>
      <c r="G28" s="85">
        <f t="shared" si="3"/>
        <v>2.3888888888888888</v>
      </c>
      <c r="H28" s="119">
        <f t="shared" si="4"/>
        <v>3</v>
      </c>
      <c r="I28" s="87">
        <f t="shared" si="5"/>
        <v>2.5</v>
      </c>
      <c r="J28" s="88">
        <f t="shared" si="6"/>
        <v>583.47131034482754</v>
      </c>
      <c r="K28" s="90">
        <f t="shared" si="7"/>
        <v>270</v>
      </c>
      <c r="L28" s="89">
        <f t="shared" si="8"/>
        <v>500</v>
      </c>
      <c r="M28" s="90">
        <f t="shared" si="9"/>
        <v>1353.4713103448275</v>
      </c>
      <c r="N28" s="88">
        <f t="shared" si="12"/>
        <v>337.99001129267884</v>
      </c>
      <c r="O28" s="91">
        <f t="shared" si="10"/>
        <v>1691.4613216375064</v>
      </c>
      <c r="P28" s="66">
        <v>12</v>
      </c>
      <c r="Q28" s="92">
        <f t="shared" si="11"/>
        <v>563.82044054583548</v>
      </c>
      <c r="R28" s="93"/>
    </row>
    <row r="29" spans="1:18" s="68" customFormat="1" x14ac:dyDescent="0.2">
      <c r="A29" s="79">
        <v>1300</v>
      </c>
      <c r="B29" s="80">
        <v>40</v>
      </c>
      <c r="C29" s="81">
        <f t="shared" si="0"/>
        <v>134</v>
      </c>
      <c r="D29" s="82">
        <f t="shared" si="1"/>
        <v>16.75</v>
      </c>
      <c r="E29" s="83">
        <v>6</v>
      </c>
      <c r="F29" s="84">
        <f t="shared" si="2"/>
        <v>22.75</v>
      </c>
      <c r="G29" s="85">
        <f t="shared" si="3"/>
        <v>2.5277777777777777</v>
      </c>
      <c r="H29" s="119">
        <f t="shared" si="4"/>
        <v>3</v>
      </c>
      <c r="I29" s="87">
        <f t="shared" si="5"/>
        <v>2.5</v>
      </c>
      <c r="J29" s="88">
        <f t="shared" si="6"/>
        <v>630.525448275862</v>
      </c>
      <c r="K29" s="90">
        <f t="shared" si="7"/>
        <v>270</v>
      </c>
      <c r="L29" s="89">
        <f t="shared" si="8"/>
        <v>500</v>
      </c>
      <c r="M29" s="90">
        <f t="shared" si="9"/>
        <v>1400.5254482758619</v>
      </c>
      <c r="N29" s="88">
        <f t="shared" si="12"/>
        <v>349.74041079440582</v>
      </c>
      <c r="O29" s="91">
        <f t="shared" si="10"/>
        <v>1750.2658590702677</v>
      </c>
      <c r="P29" s="66">
        <v>13</v>
      </c>
      <c r="Q29" s="92">
        <f t="shared" si="11"/>
        <v>583.42195302342259</v>
      </c>
      <c r="R29" s="93"/>
    </row>
    <row r="30" spans="1:18" s="68" customFormat="1" x14ac:dyDescent="0.2">
      <c r="A30" s="79">
        <v>1400</v>
      </c>
      <c r="B30" s="80">
        <v>40</v>
      </c>
      <c r="C30" s="81">
        <f t="shared" si="0"/>
        <v>144</v>
      </c>
      <c r="D30" s="82">
        <f t="shared" si="1"/>
        <v>18</v>
      </c>
      <c r="E30" s="83">
        <v>6</v>
      </c>
      <c r="F30" s="84">
        <f t="shared" si="2"/>
        <v>24</v>
      </c>
      <c r="G30" s="85">
        <f t="shared" si="3"/>
        <v>2.6666666666666665</v>
      </c>
      <c r="H30" s="119">
        <f t="shared" si="4"/>
        <v>3</v>
      </c>
      <c r="I30" s="87">
        <f t="shared" si="5"/>
        <v>2.5</v>
      </c>
      <c r="J30" s="88">
        <f t="shared" si="6"/>
        <v>677.57958620689647</v>
      </c>
      <c r="K30" s="90">
        <f t="shared" si="7"/>
        <v>270</v>
      </c>
      <c r="L30" s="89">
        <f t="shared" si="8"/>
        <v>500</v>
      </c>
      <c r="M30" s="90">
        <f t="shared" si="9"/>
        <v>1447.5795862068965</v>
      </c>
      <c r="N30" s="88">
        <f t="shared" si="12"/>
        <v>361.49081029613279</v>
      </c>
      <c r="O30" s="91">
        <f t="shared" si="10"/>
        <v>1809.0703965030293</v>
      </c>
      <c r="P30" s="66">
        <v>14</v>
      </c>
      <c r="Q30" s="92">
        <f t="shared" si="11"/>
        <v>603.02346550100981</v>
      </c>
      <c r="R30" s="93"/>
    </row>
    <row r="31" spans="1:18" s="68" customFormat="1" x14ac:dyDescent="0.2">
      <c r="A31" s="79">
        <v>1500</v>
      </c>
      <c r="B31" s="80">
        <v>40</v>
      </c>
      <c r="C31" s="81">
        <f t="shared" si="0"/>
        <v>154</v>
      </c>
      <c r="D31" s="82">
        <f t="shared" si="1"/>
        <v>19.25</v>
      </c>
      <c r="E31" s="83">
        <v>6</v>
      </c>
      <c r="F31" s="84">
        <f t="shared" si="2"/>
        <v>25.25</v>
      </c>
      <c r="G31" s="85">
        <f t="shared" si="3"/>
        <v>2.8055555555555554</v>
      </c>
      <c r="H31" s="119">
        <f t="shared" si="4"/>
        <v>3</v>
      </c>
      <c r="I31" s="87">
        <f t="shared" si="5"/>
        <v>2.5</v>
      </c>
      <c r="J31" s="88">
        <f t="shared" si="6"/>
        <v>724.63372413793093</v>
      </c>
      <c r="K31" s="90">
        <f t="shared" si="7"/>
        <v>270</v>
      </c>
      <c r="L31" s="89">
        <f t="shared" si="8"/>
        <v>500</v>
      </c>
      <c r="M31" s="90">
        <f t="shared" si="9"/>
        <v>1494.633724137931</v>
      </c>
      <c r="N31" s="88">
        <f t="shared" si="12"/>
        <v>373.24120979785977</v>
      </c>
      <c r="O31" s="91">
        <f t="shared" si="10"/>
        <v>1867.8749339357908</v>
      </c>
      <c r="P31" s="66">
        <v>15</v>
      </c>
      <c r="Q31" s="92">
        <f t="shared" si="11"/>
        <v>622.62497797859692</v>
      </c>
      <c r="R31" s="93"/>
    </row>
    <row r="32" spans="1:18" s="68" customFormat="1" x14ac:dyDescent="0.2">
      <c r="A32" s="79">
        <v>1600</v>
      </c>
      <c r="B32" s="80">
        <v>40</v>
      </c>
      <c r="C32" s="81">
        <f t="shared" si="0"/>
        <v>164</v>
      </c>
      <c r="D32" s="82">
        <f t="shared" si="1"/>
        <v>20.5</v>
      </c>
      <c r="E32" s="83">
        <v>6</v>
      </c>
      <c r="F32" s="84">
        <f t="shared" si="2"/>
        <v>26.5</v>
      </c>
      <c r="G32" s="85">
        <f t="shared" si="3"/>
        <v>2.9444444444444446</v>
      </c>
      <c r="H32" s="119">
        <f t="shared" si="4"/>
        <v>3</v>
      </c>
      <c r="I32" s="87">
        <f t="shared" si="5"/>
        <v>2.5</v>
      </c>
      <c r="J32" s="88">
        <f t="shared" si="6"/>
        <v>771.6878620689655</v>
      </c>
      <c r="K32" s="90">
        <f t="shared" si="7"/>
        <v>270</v>
      </c>
      <c r="L32" s="89">
        <f t="shared" si="8"/>
        <v>500</v>
      </c>
      <c r="M32" s="90">
        <f t="shared" si="9"/>
        <v>1541.6878620689654</v>
      </c>
      <c r="N32" s="88">
        <f t="shared" si="12"/>
        <v>384.99160929958674</v>
      </c>
      <c r="O32" s="91">
        <f t="shared" si="10"/>
        <v>1926.6794713685522</v>
      </c>
      <c r="P32" s="66">
        <v>16</v>
      </c>
      <c r="Q32" s="92">
        <f t="shared" si="11"/>
        <v>642.22649045618402</v>
      </c>
      <c r="R32" s="93"/>
    </row>
    <row r="33" spans="1:18" s="68" customFormat="1" x14ac:dyDescent="0.2">
      <c r="A33" s="79">
        <v>1700</v>
      </c>
      <c r="B33" s="80">
        <v>40</v>
      </c>
      <c r="C33" s="81">
        <f t="shared" si="0"/>
        <v>174</v>
      </c>
      <c r="D33" s="82">
        <f t="shared" si="1"/>
        <v>21.75</v>
      </c>
      <c r="E33" s="83">
        <v>6</v>
      </c>
      <c r="F33" s="84">
        <f t="shared" si="2"/>
        <v>27.75</v>
      </c>
      <c r="G33" s="85">
        <f t="shared" si="3"/>
        <v>3.0833333333333335</v>
      </c>
      <c r="H33" s="119">
        <f t="shared" si="4"/>
        <v>4</v>
      </c>
      <c r="I33" s="87">
        <f t="shared" si="5"/>
        <v>3.5</v>
      </c>
      <c r="J33" s="88">
        <f t="shared" si="6"/>
        <v>818.74199999999996</v>
      </c>
      <c r="K33" s="90">
        <f t="shared" si="7"/>
        <v>360</v>
      </c>
      <c r="L33" s="89">
        <f t="shared" si="8"/>
        <v>700</v>
      </c>
      <c r="M33" s="90">
        <f t="shared" si="9"/>
        <v>1878.742</v>
      </c>
      <c r="N33" s="88">
        <f t="shared" si="12"/>
        <v>469.16105642036138</v>
      </c>
      <c r="O33" s="91">
        <f t="shared" si="10"/>
        <v>2347.9030564203613</v>
      </c>
      <c r="P33" s="66">
        <v>17</v>
      </c>
      <c r="Q33" s="92">
        <f t="shared" si="11"/>
        <v>586.97576410509032</v>
      </c>
      <c r="R33" s="93"/>
    </row>
    <row r="34" spans="1:18" s="68" customFormat="1" x14ac:dyDescent="0.2">
      <c r="A34" s="79">
        <v>1800</v>
      </c>
      <c r="B34" s="80">
        <v>40</v>
      </c>
      <c r="C34" s="81">
        <f t="shared" si="0"/>
        <v>184</v>
      </c>
      <c r="D34" s="82">
        <f t="shared" si="1"/>
        <v>23</v>
      </c>
      <c r="E34" s="83">
        <v>6</v>
      </c>
      <c r="F34" s="84">
        <f t="shared" si="2"/>
        <v>29</v>
      </c>
      <c r="G34" s="85">
        <f t="shared" si="3"/>
        <v>3.2222222222222223</v>
      </c>
      <c r="H34" s="119">
        <f t="shared" si="4"/>
        <v>4</v>
      </c>
      <c r="I34" s="87">
        <f t="shared" si="5"/>
        <v>3.5</v>
      </c>
      <c r="J34" s="88">
        <f t="shared" si="6"/>
        <v>865.79613793103442</v>
      </c>
      <c r="K34" s="90">
        <f t="shared" si="7"/>
        <v>360</v>
      </c>
      <c r="L34" s="89">
        <f t="shared" si="8"/>
        <v>700</v>
      </c>
      <c r="M34" s="90">
        <f t="shared" si="9"/>
        <v>1925.7961379310345</v>
      </c>
      <c r="N34" s="88">
        <f t="shared" si="12"/>
        <v>480.91145592208835</v>
      </c>
      <c r="O34" s="91">
        <f t="shared" si="10"/>
        <v>2406.7075938531229</v>
      </c>
      <c r="P34" s="66">
        <v>18</v>
      </c>
      <c r="Q34" s="92">
        <f t="shared" si="11"/>
        <v>601.67689846328074</v>
      </c>
      <c r="R34" s="93"/>
    </row>
    <row r="35" spans="1:18" s="68" customFormat="1" x14ac:dyDescent="0.2">
      <c r="A35" s="79">
        <v>1900</v>
      </c>
      <c r="B35" s="80">
        <v>40</v>
      </c>
      <c r="C35" s="81">
        <f t="shared" si="0"/>
        <v>194</v>
      </c>
      <c r="D35" s="82">
        <f t="shared" si="1"/>
        <v>24.25</v>
      </c>
      <c r="E35" s="83">
        <v>6</v>
      </c>
      <c r="F35" s="84">
        <f t="shared" si="2"/>
        <v>30.25</v>
      </c>
      <c r="G35" s="85">
        <f t="shared" si="3"/>
        <v>3.3611111111111112</v>
      </c>
      <c r="H35" s="119">
        <f t="shared" si="4"/>
        <v>4</v>
      </c>
      <c r="I35" s="87">
        <f t="shared" si="5"/>
        <v>3.5</v>
      </c>
      <c r="J35" s="88">
        <f t="shared" si="6"/>
        <v>912.85027586206888</v>
      </c>
      <c r="K35" s="90">
        <f t="shared" si="7"/>
        <v>360</v>
      </c>
      <c r="L35" s="89">
        <f t="shared" si="8"/>
        <v>700</v>
      </c>
      <c r="M35" s="90">
        <f t="shared" si="9"/>
        <v>1972.8502758620689</v>
      </c>
      <c r="N35" s="88">
        <f t="shared" si="12"/>
        <v>492.66185542381527</v>
      </c>
      <c r="O35" s="91">
        <f t="shared" si="10"/>
        <v>2465.5121312858842</v>
      </c>
      <c r="P35" s="66">
        <v>19</v>
      </c>
      <c r="Q35" s="92">
        <f t="shared" si="11"/>
        <v>616.37803282147104</v>
      </c>
      <c r="R35" s="93"/>
    </row>
    <row r="36" spans="1:18" s="68" customFormat="1" x14ac:dyDescent="0.2">
      <c r="A36" s="79">
        <v>2000</v>
      </c>
      <c r="B36" s="80">
        <v>40</v>
      </c>
      <c r="C36" s="81">
        <f t="shared" si="0"/>
        <v>204</v>
      </c>
      <c r="D36" s="82">
        <f t="shared" si="1"/>
        <v>25.5</v>
      </c>
      <c r="E36" s="83">
        <v>6</v>
      </c>
      <c r="F36" s="84">
        <f t="shared" si="2"/>
        <v>31.5</v>
      </c>
      <c r="G36" s="85">
        <f t="shared" si="3"/>
        <v>3.5</v>
      </c>
      <c r="H36" s="119">
        <f t="shared" si="4"/>
        <v>4</v>
      </c>
      <c r="I36" s="87">
        <f t="shared" si="5"/>
        <v>3.5</v>
      </c>
      <c r="J36" s="88">
        <f t="shared" si="6"/>
        <v>959.90441379310334</v>
      </c>
      <c r="K36" s="90">
        <f t="shared" si="7"/>
        <v>360</v>
      </c>
      <c r="L36" s="89">
        <f t="shared" si="8"/>
        <v>700</v>
      </c>
      <c r="M36" s="90">
        <f t="shared" si="9"/>
        <v>2019.9044137931032</v>
      </c>
      <c r="N36" s="88">
        <f t="shared" si="12"/>
        <v>504.41225492554224</v>
      </c>
      <c r="O36" s="91">
        <f t="shared" si="10"/>
        <v>2524.3166687186454</v>
      </c>
      <c r="P36" s="66">
        <v>20</v>
      </c>
      <c r="Q36" s="92">
        <f t="shared" si="11"/>
        <v>631.07916717966134</v>
      </c>
      <c r="R36" s="93"/>
    </row>
    <row r="37" spans="1:18" s="68" customFormat="1" x14ac:dyDescent="0.2">
      <c r="A37" s="79">
        <v>2100</v>
      </c>
      <c r="B37" s="80">
        <v>40</v>
      </c>
      <c r="C37" s="81">
        <f t="shared" si="0"/>
        <v>214</v>
      </c>
      <c r="D37" s="82">
        <f t="shared" si="1"/>
        <v>26.75</v>
      </c>
      <c r="E37" s="83">
        <v>6</v>
      </c>
      <c r="F37" s="84">
        <f t="shared" si="2"/>
        <v>32.75</v>
      </c>
      <c r="G37" s="85">
        <f t="shared" si="3"/>
        <v>3.6388888888888888</v>
      </c>
      <c r="H37" s="119">
        <f t="shared" si="4"/>
        <v>4</v>
      </c>
      <c r="I37" s="87">
        <f t="shared" si="5"/>
        <v>3.5</v>
      </c>
      <c r="J37" s="88">
        <f t="shared" si="6"/>
        <v>1006.9585517241378</v>
      </c>
      <c r="K37" s="90">
        <f t="shared" si="7"/>
        <v>360</v>
      </c>
      <c r="L37" s="89">
        <f t="shared" si="8"/>
        <v>700</v>
      </c>
      <c r="M37" s="90">
        <f t="shared" si="9"/>
        <v>2066.9585517241376</v>
      </c>
      <c r="N37" s="88">
        <f t="shared" si="12"/>
        <v>516.1626544272691</v>
      </c>
      <c r="O37" s="91">
        <f t="shared" si="10"/>
        <v>2583.1212061514066</v>
      </c>
      <c r="P37" s="66">
        <v>21</v>
      </c>
      <c r="Q37" s="92">
        <f t="shared" si="11"/>
        <v>645.78030153785164</v>
      </c>
      <c r="R37" s="93"/>
    </row>
    <row r="38" spans="1:18" s="68" customFormat="1" x14ac:dyDescent="0.2">
      <c r="A38" s="79">
        <v>2200</v>
      </c>
      <c r="B38" s="80">
        <v>40</v>
      </c>
      <c r="C38" s="81">
        <f t="shared" si="0"/>
        <v>224</v>
      </c>
      <c r="D38" s="82">
        <f t="shared" si="1"/>
        <v>28</v>
      </c>
      <c r="E38" s="83">
        <v>6</v>
      </c>
      <c r="F38" s="84">
        <f t="shared" si="2"/>
        <v>34</v>
      </c>
      <c r="G38" s="85">
        <f t="shared" si="3"/>
        <v>3.7777777777777777</v>
      </c>
      <c r="H38" s="119">
        <f t="shared" si="4"/>
        <v>4</v>
      </c>
      <c r="I38" s="87">
        <f t="shared" si="5"/>
        <v>3.5</v>
      </c>
      <c r="J38" s="88">
        <f t="shared" si="6"/>
        <v>1054.0126896551724</v>
      </c>
      <c r="K38" s="90">
        <f t="shared" si="7"/>
        <v>360</v>
      </c>
      <c r="L38" s="89">
        <f t="shared" si="8"/>
        <v>700</v>
      </c>
      <c r="M38" s="90">
        <f t="shared" si="9"/>
        <v>2114.0126896551724</v>
      </c>
      <c r="N38" s="88">
        <f t="shared" si="12"/>
        <v>527.91305392899619</v>
      </c>
      <c r="O38" s="91">
        <f t="shared" si="10"/>
        <v>2641.9257435841687</v>
      </c>
      <c r="P38" s="66">
        <v>22</v>
      </c>
      <c r="Q38" s="92">
        <f t="shared" si="11"/>
        <v>660.48143589604217</v>
      </c>
      <c r="R38" s="93"/>
    </row>
    <row r="39" spans="1:18" s="68" customFormat="1" x14ac:dyDescent="0.2">
      <c r="A39" s="79">
        <v>2300</v>
      </c>
      <c r="B39" s="80">
        <v>40</v>
      </c>
      <c r="C39" s="81">
        <f t="shared" si="0"/>
        <v>234</v>
      </c>
      <c r="D39" s="82">
        <f t="shared" si="1"/>
        <v>29.25</v>
      </c>
      <c r="E39" s="83">
        <v>6</v>
      </c>
      <c r="F39" s="84">
        <f t="shared" si="2"/>
        <v>35.25</v>
      </c>
      <c r="G39" s="85">
        <f t="shared" si="3"/>
        <v>3.9166666666666665</v>
      </c>
      <c r="H39" s="119">
        <f t="shared" si="4"/>
        <v>4</v>
      </c>
      <c r="I39" s="87">
        <f t="shared" si="5"/>
        <v>3.5</v>
      </c>
      <c r="J39" s="88">
        <f t="shared" si="6"/>
        <v>1101.0668275862067</v>
      </c>
      <c r="K39" s="90">
        <f t="shared" si="7"/>
        <v>360</v>
      </c>
      <c r="L39" s="89">
        <f t="shared" si="8"/>
        <v>700</v>
      </c>
      <c r="M39" s="90">
        <f t="shared" si="9"/>
        <v>2161.0668275862067</v>
      </c>
      <c r="N39" s="88">
        <f t="shared" si="12"/>
        <v>539.66345343072317</v>
      </c>
      <c r="O39" s="91">
        <f t="shared" si="10"/>
        <v>2700.7302810169299</v>
      </c>
      <c r="P39" s="66">
        <v>23</v>
      </c>
      <c r="Q39" s="92">
        <f t="shared" si="11"/>
        <v>675.18257025423247</v>
      </c>
      <c r="R39" s="93"/>
    </row>
    <row r="40" spans="1:18" s="68" customFormat="1" x14ac:dyDescent="0.2">
      <c r="A40" s="79">
        <v>2400</v>
      </c>
      <c r="B40" s="80">
        <v>40</v>
      </c>
      <c r="C40" s="81">
        <f t="shared" si="0"/>
        <v>244</v>
      </c>
      <c r="D40" s="82">
        <f t="shared" si="1"/>
        <v>30.5</v>
      </c>
      <c r="E40" s="83">
        <v>6</v>
      </c>
      <c r="F40" s="84">
        <f t="shared" si="2"/>
        <v>36.5</v>
      </c>
      <c r="G40" s="85">
        <f t="shared" si="3"/>
        <v>4.0555555555555554</v>
      </c>
      <c r="H40" s="119">
        <f t="shared" si="4"/>
        <v>5</v>
      </c>
      <c r="I40" s="87">
        <f t="shared" si="5"/>
        <v>4.5</v>
      </c>
      <c r="J40" s="88">
        <f t="shared" si="6"/>
        <v>1148.1209655172413</v>
      </c>
      <c r="K40" s="90">
        <f t="shared" si="7"/>
        <v>450</v>
      </c>
      <c r="L40" s="89">
        <f t="shared" si="8"/>
        <v>900</v>
      </c>
      <c r="M40" s="90">
        <f t="shared" si="9"/>
        <v>2498.1209655172415</v>
      </c>
      <c r="N40" s="88">
        <f t="shared" si="12"/>
        <v>623.8329005514978</v>
      </c>
      <c r="O40" s="91">
        <f t="shared" si="10"/>
        <v>3121.9538660687394</v>
      </c>
      <c r="P40" s="66">
        <v>24</v>
      </c>
      <c r="Q40" s="92">
        <f t="shared" si="11"/>
        <v>624.39077321374793</v>
      </c>
      <c r="R40" s="93"/>
    </row>
    <row r="41" spans="1:18" s="68" customFormat="1" x14ac:dyDescent="0.2">
      <c r="A41" s="79">
        <v>2500</v>
      </c>
      <c r="B41" s="80">
        <v>40</v>
      </c>
      <c r="C41" s="81">
        <f t="shared" si="0"/>
        <v>254</v>
      </c>
      <c r="D41" s="82">
        <f t="shared" si="1"/>
        <v>31.75</v>
      </c>
      <c r="E41" s="83">
        <v>6</v>
      </c>
      <c r="F41" s="84">
        <f t="shared" si="2"/>
        <v>37.75</v>
      </c>
      <c r="G41" s="85">
        <f t="shared" si="3"/>
        <v>4.1944444444444446</v>
      </c>
      <c r="H41" s="119">
        <f t="shared" si="4"/>
        <v>5</v>
      </c>
      <c r="I41" s="87">
        <f t="shared" si="5"/>
        <v>4.5</v>
      </c>
      <c r="J41" s="88">
        <f t="shared" si="6"/>
        <v>1195.1751034482756</v>
      </c>
      <c r="K41" s="90">
        <f t="shared" si="7"/>
        <v>450</v>
      </c>
      <c r="L41" s="89">
        <f t="shared" si="8"/>
        <v>900</v>
      </c>
      <c r="M41" s="90">
        <f t="shared" si="9"/>
        <v>2545.1751034482759</v>
      </c>
      <c r="N41" s="88">
        <f t="shared" si="12"/>
        <v>635.58330005322478</v>
      </c>
      <c r="O41" s="91">
        <f t="shared" si="10"/>
        <v>3180.7584035015007</v>
      </c>
      <c r="P41" s="66">
        <v>25</v>
      </c>
      <c r="Q41" s="92">
        <f t="shared" si="11"/>
        <v>636.15168070030018</v>
      </c>
      <c r="R41" s="93"/>
    </row>
    <row r="42" spans="1:18" s="68" customFormat="1" x14ac:dyDescent="0.2">
      <c r="A42" s="79">
        <v>2600</v>
      </c>
      <c r="B42" s="80">
        <v>40</v>
      </c>
      <c r="C42" s="81">
        <f t="shared" si="0"/>
        <v>264</v>
      </c>
      <c r="D42" s="82">
        <f t="shared" si="1"/>
        <v>33</v>
      </c>
      <c r="E42" s="83">
        <v>6</v>
      </c>
      <c r="F42" s="84">
        <f t="shared" si="2"/>
        <v>39</v>
      </c>
      <c r="G42" s="85">
        <f t="shared" si="3"/>
        <v>4.333333333333333</v>
      </c>
      <c r="H42" s="119">
        <f t="shared" si="4"/>
        <v>5</v>
      </c>
      <c r="I42" s="87">
        <f t="shared" si="5"/>
        <v>4.5</v>
      </c>
      <c r="J42" s="88">
        <f t="shared" si="6"/>
        <v>1242.2292413793102</v>
      </c>
      <c r="K42" s="90">
        <f t="shared" si="7"/>
        <v>450</v>
      </c>
      <c r="L42" s="89">
        <f t="shared" si="8"/>
        <v>900</v>
      </c>
      <c r="M42" s="90">
        <f t="shared" si="9"/>
        <v>2592.2292413793102</v>
      </c>
      <c r="N42" s="88">
        <f t="shared" si="12"/>
        <v>647.33369955495175</v>
      </c>
      <c r="O42" s="91">
        <f t="shared" si="10"/>
        <v>3239.5629409342619</v>
      </c>
      <c r="P42" s="66">
        <v>26</v>
      </c>
      <c r="Q42" s="92">
        <f t="shared" si="11"/>
        <v>647.91258818685242</v>
      </c>
      <c r="R42" s="93"/>
    </row>
    <row r="43" spans="1:18" s="68" customFormat="1" x14ac:dyDescent="0.2">
      <c r="A43" s="79">
        <v>2700</v>
      </c>
      <c r="B43" s="80">
        <v>40</v>
      </c>
      <c r="C43" s="81">
        <f t="shared" si="0"/>
        <v>274</v>
      </c>
      <c r="D43" s="82">
        <f t="shared" si="1"/>
        <v>34.25</v>
      </c>
      <c r="E43" s="83">
        <v>6</v>
      </c>
      <c r="F43" s="84">
        <f t="shared" si="2"/>
        <v>40.25</v>
      </c>
      <c r="G43" s="85">
        <f t="shared" si="3"/>
        <v>4.4722222222222223</v>
      </c>
      <c r="H43" s="119">
        <f t="shared" si="4"/>
        <v>5</v>
      </c>
      <c r="I43" s="87">
        <f t="shared" si="5"/>
        <v>4.5</v>
      </c>
      <c r="J43" s="88">
        <f t="shared" si="6"/>
        <v>1289.2833793103448</v>
      </c>
      <c r="K43" s="90">
        <f t="shared" si="7"/>
        <v>450</v>
      </c>
      <c r="L43" s="89">
        <f t="shared" si="8"/>
        <v>900</v>
      </c>
      <c r="M43" s="90">
        <f t="shared" si="9"/>
        <v>2639.2833793103446</v>
      </c>
      <c r="N43" s="88">
        <f t="shared" si="12"/>
        <v>659.08409905667861</v>
      </c>
      <c r="O43" s="91">
        <f t="shared" si="10"/>
        <v>3298.3674783670231</v>
      </c>
      <c r="P43" s="66">
        <v>27</v>
      </c>
      <c r="Q43" s="92">
        <f t="shared" si="11"/>
        <v>659.67349567340466</v>
      </c>
      <c r="R43" s="93"/>
    </row>
    <row r="44" spans="1:18" s="68" customFormat="1" x14ac:dyDescent="0.2">
      <c r="A44" s="79">
        <v>2800</v>
      </c>
      <c r="B44" s="80">
        <v>40</v>
      </c>
      <c r="C44" s="81">
        <f t="shared" si="0"/>
        <v>284</v>
      </c>
      <c r="D44" s="82">
        <f t="shared" si="1"/>
        <v>35.5</v>
      </c>
      <c r="E44" s="83">
        <v>6</v>
      </c>
      <c r="F44" s="84">
        <f t="shared" si="2"/>
        <v>41.5</v>
      </c>
      <c r="G44" s="85">
        <f t="shared" si="3"/>
        <v>4.6111111111111107</v>
      </c>
      <c r="H44" s="119">
        <f t="shared" si="4"/>
        <v>5</v>
      </c>
      <c r="I44" s="87">
        <f t="shared" si="5"/>
        <v>4.5</v>
      </c>
      <c r="J44" s="88">
        <f t="shared" si="6"/>
        <v>1336.3375172413791</v>
      </c>
      <c r="K44" s="90">
        <f t="shared" si="7"/>
        <v>450</v>
      </c>
      <c r="L44" s="89">
        <f t="shared" si="8"/>
        <v>900</v>
      </c>
      <c r="M44" s="90">
        <f t="shared" si="9"/>
        <v>2686.3375172413789</v>
      </c>
      <c r="N44" s="88">
        <f t="shared" si="12"/>
        <v>670.83449855840558</v>
      </c>
      <c r="O44" s="91">
        <f t="shared" si="10"/>
        <v>3357.1720157997843</v>
      </c>
      <c r="P44" s="66">
        <v>28</v>
      </c>
      <c r="Q44" s="92">
        <f t="shared" si="11"/>
        <v>671.4344031599569</v>
      </c>
      <c r="R44" s="93"/>
    </row>
    <row r="45" spans="1:18" s="68" customFormat="1" x14ac:dyDescent="0.2">
      <c r="A45" s="79">
        <v>2900</v>
      </c>
      <c r="B45" s="80">
        <v>40</v>
      </c>
      <c r="C45" s="81">
        <f t="shared" si="0"/>
        <v>294</v>
      </c>
      <c r="D45" s="82">
        <f t="shared" si="1"/>
        <v>36.75</v>
      </c>
      <c r="E45" s="83">
        <v>6</v>
      </c>
      <c r="F45" s="84">
        <f t="shared" si="2"/>
        <v>42.75</v>
      </c>
      <c r="G45" s="85">
        <f t="shared" si="3"/>
        <v>4.75</v>
      </c>
      <c r="H45" s="119">
        <f t="shared" si="4"/>
        <v>5</v>
      </c>
      <c r="I45" s="87">
        <f t="shared" si="5"/>
        <v>4.5</v>
      </c>
      <c r="J45" s="88">
        <f t="shared" si="6"/>
        <v>1383.3916551724137</v>
      </c>
      <c r="K45" s="90">
        <f t="shared" si="7"/>
        <v>450</v>
      </c>
      <c r="L45" s="89">
        <f t="shared" si="8"/>
        <v>900</v>
      </c>
      <c r="M45" s="90">
        <f t="shared" si="9"/>
        <v>2733.3916551724137</v>
      </c>
      <c r="N45" s="88">
        <f t="shared" si="12"/>
        <v>682.58489806013267</v>
      </c>
      <c r="O45" s="91">
        <f t="shared" si="10"/>
        <v>3415.9765532325464</v>
      </c>
      <c r="P45" s="66">
        <v>29</v>
      </c>
      <c r="Q45" s="92">
        <f t="shared" si="11"/>
        <v>683.19531064650926</v>
      </c>
      <c r="R45" s="93"/>
    </row>
    <row r="46" spans="1:18" s="68" customFormat="1" x14ac:dyDescent="0.2">
      <c r="A46" s="79">
        <v>3000</v>
      </c>
      <c r="B46" s="80">
        <v>40</v>
      </c>
      <c r="C46" s="81">
        <f t="shared" si="0"/>
        <v>304</v>
      </c>
      <c r="D46" s="82">
        <f t="shared" si="1"/>
        <v>38</v>
      </c>
      <c r="E46" s="83">
        <v>6</v>
      </c>
      <c r="F46" s="84">
        <f t="shared" si="2"/>
        <v>44</v>
      </c>
      <c r="G46" s="85">
        <f t="shared" si="3"/>
        <v>4.8888888888888893</v>
      </c>
      <c r="H46" s="119">
        <f t="shared" si="4"/>
        <v>5</v>
      </c>
      <c r="I46" s="87">
        <f t="shared" si="5"/>
        <v>4.5</v>
      </c>
      <c r="J46" s="88">
        <f t="shared" si="6"/>
        <v>1430.4457931034481</v>
      </c>
      <c r="K46" s="90">
        <f t="shared" si="7"/>
        <v>450</v>
      </c>
      <c r="L46" s="89">
        <f t="shared" si="8"/>
        <v>900</v>
      </c>
      <c r="M46" s="90">
        <f t="shared" si="9"/>
        <v>2780.4457931034481</v>
      </c>
      <c r="N46" s="88">
        <f t="shared" si="12"/>
        <v>694.33529756185953</v>
      </c>
      <c r="O46" s="91">
        <f t="shared" si="10"/>
        <v>3474.7810906653076</v>
      </c>
      <c r="P46" s="66">
        <v>30</v>
      </c>
      <c r="Q46" s="92">
        <f t="shared" si="11"/>
        <v>694.9562181330615</v>
      </c>
      <c r="R46" s="93"/>
    </row>
    <row r="47" spans="1:18" s="108" customFormat="1" x14ac:dyDescent="0.2">
      <c r="D47" s="109"/>
      <c r="E47" s="110"/>
      <c r="F47" s="111"/>
      <c r="G47" s="112"/>
      <c r="H47" s="112"/>
      <c r="I47" s="112"/>
      <c r="J47" s="112"/>
      <c r="N47" s="68"/>
      <c r="O47" s="113"/>
      <c r="P47" s="114"/>
      <c r="Q47" s="115">
        <f>SUM(Q17:Q46)</f>
        <v>17234.326150822872</v>
      </c>
    </row>
    <row r="48" spans="1:18" x14ac:dyDescent="0.2">
      <c r="O48" s="116"/>
      <c r="Q48" s="115">
        <f>Q47/30</f>
        <v>574.47753836076242</v>
      </c>
    </row>
    <row r="53" spans="4:17" x14ac:dyDescent="0.2">
      <c r="D53" s="38"/>
      <c r="E53" s="38"/>
      <c r="F53" s="38"/>
      <c r="G53" s="38"/>
      <c r="H53" s="38"/>
      <c r="I53" s="38"/>
      <c r="J53" s="38"/>
      <c r="N53" s="38"/>
      <c r="O53" s="38"/>
      <c r="P53" s="38"/>
      <c r="Q53" s="38"/>
    </row>
    <row r="54" spans="4:17" x14ac:dyDescent="0.2">
      <c r="D54" s="38"/>
      <c r="E54" s="38"/>
      <c r="F54" s="38"/>
      <c r="G54" s="38"/>
      <c r="H54" s="38"/>
      <c r="I54" s="38"/>
      <c r="J54" s="38"/>
      <c r="N54" s="38"/>
      <c r="O54" s="38"/>
      <c r="P54" s="38"/>
      <c r="Q54" s="38"/>
    </row>
    <row r="55" spans="4:17" x14ac:dyDescent="0.2">
      <c r="D55" s="38"/>
      <c r="E55" s="38"/>
      <c r="F55" s="38"/>
      <c r="G55" s="38"/>
      <c r="H55" s="38"/>
      <c r="I55" s="38"/>
      <c r="J55" s="38"/>
      <c r="N55" s="38"/>
      <c r="O55" s="38"/>
      <c r="P55" s="38"/>
      <c r="Q55" s="38"/>
    </row>
    <row r="56" spans="4:17" x14ac:dyDescent="0.2">
      <c r="D56" s="38"/>
      <c r="E56" s="38"/>
      <c r="F56" s="38"/>
      <c r="G56" s="38"/>
      <c r="H56" s="38"/>
      <c r="I56" s="38"/>
      <c r="J56" s="38"/>
      <c r="N56" s="38"/>
      <c r="O56" s="38"/>
      <c r="P56" s="38"/>
      <c r="Q56" s="38"/>
    </row>
    <row r="57" spans="4:17" x14ac:dyDescent="0.2">
      <c r="D57" s="38"/>
      <c r="E57" s="38"/>
      <c r="F57" s="38"/>
      <c r="G57" s="38"/>
      <c r="H57" s="38"/>
      <c r="I57" s="38"/>
      <c r="J57" s="38"/>
      <c r="N57" s="38"/>
      <c r="O57" s="38"/>
      <c r="P57" s="38"/>
      <c r="Q57" s="38"/>
    </row>
    <row r="58" spans="4:17" x14ac:dyDescent="0.2">
      <c r="D58" s="38"/>
      <c r="E58" s="38"/>
      <c r="F58" s="38"/>
      <c r="G58" s="38"/>
      <c r="H58" s="38"/>
      <c r="I58" s="38"/>
      <c r="J58" s="38"/>
      <c r="N58" s="38"/>
      <c r="O58" s="38"/>
      <c r="P58" s="38"/>
      <c r="Q58" s="38"/>
    </row>
    <row r="60" spans="4:17" x14ac:dyDescent="0.2">
      <c r="D60" s="38"/>
      <c r="E60" s="38"/>
      <c r="F60" s="38"/>
      <c r="G60" s="38"/>
      <c r="H60" s="38"/>
      <c r="I60" s="38"/>
      <c r="J60" s="38"/>
      <c r="N60" s="38"/>
      <c r="O60" s="38"/>
      <c r="P60" s="38"/>
      <c r="Q60" s="38"/>
    </row>
  </sheetData>
  <mergeCells count="10">
    <mergeCell ref="A11:E11"/>
    <mergeCell ref="A1:O1"/>
    <mergeCell ref="A2:O2"/>
    <mergeCell ref="A10:E10"/>
    <mergeCell ref="A4:F4"/>
    <mergeCell ref="A5:E5"/>
    <mergeCell ref="A6:E6"/>
    <mergeCell ref="A7:E7"/>
    <mergeCell ref="A8:E8"/>
    <mergeCell ref="A9:E9"/>
  </mergeCells>
  <pageMargins left="0.511811024" right="0.511811024" top="0.78740157499999996" bottom="0.78740157499999996" header="0.31496062000000002" footer="0.31496062000000002"/>
  <pageSetup paperSize="9" scale="7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8"/>
  <sheetViews>
    <sheetView view="pageBreakPreview" zoomScale="90" zoomScaleNormal="90" zoomScaleSheetLayoutView="90" workbookViewId="0">
      <selection activeCell="N18" sqref="N18"/>
    </sheetView>
  </sheetViews>
  <sheetFormatPr defaultColWidth="8" defaultRowHeight="11.25" x14ac:dyDescent="0.2"/>
  <cols>
    <col min="1" max="1" width="18.33203125" style="38" customWidth="1"/>
    <col min="2" max="2" width="10.33203125" style="38" bestFit="1" customWidth="1"/>
    <col min="3" max="3" width="9.1640625" style="38" bestFit="1" customWidth="1"/>
    <col min="4" max="4" width="9.5" style="53" bestFit="1" customWidth="1"/>
    <col min="5" max="5" width="9" style="54" bestFit="1" customWidth="1"/>
    <col min="6" max="6" width="9.5" style="55" bestFit="1" customWidth="1"/>
    <col min="7" max="7" width="9.5" style="48" bestFit="1" customWidth="1"/>
    <col min="8" max="9" width="9.1640625" style="48" bestFit="1" customWidth="1"/>
    <col min="10" max="10" width="12.5" style="48" bestFit="1" customWidth="1"/>
    <col min="11" max="11" width="10.5" style="38" bestFit="1" customWidth="1"/>
    <col min="12" max="12" width="11.5" style="38" bestFit="1" customWidth="1"/>
    <col min="13" max="13" width="11.83203125" style="38" bestFit="1" customWidth="1"/>
    <col min="14" max="14" width="10.83203125" style="40" bestFit="1" customWidth="1"/>
    <col min="15" max="15" width="14.1640625" style="39" bestFit="1" customWidth="1"/>
    <col min="16" max="16" width="6.1640625" style="41" bestFit="1" customWidth="1"/>
    <col min="17" max="17" width="18.33203125" style="42" bestFit="1" customWidth="1"/>
    <col min="18" max="16384" width="8" style="38"/>
  </cols>
  <sheetData>
    <row r="1" spans="1:17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36"/>
      <c r="Q1" s="37"/>
    </row>
    <row r="2" spans="1:17" x14ac:dyDescent="0.2">
      <c r="A2" s="165" t="s">
        <v>72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36"/>
      <c r="Q2" s="37"/>
    </row>
    <row r="3" spans="1:17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7" s="44" customFormat="1" x14ac:dyDescent="0.2">
      <c r="A4" s="169"/>
      <c r="B4" s="169"/>
      <c r="C4" s="169"/>
      <c r="D4" s="169"/>
      <c r="E4" s="169"/>
      <c r="F4" s="169"/>
      <c r="G4" s="43"/>
      <c r="H4" s="43"/>
      <c r="I4" s="43"/>
      <c r="J4" s="43"/>
      <c r="N4" s="40"/>
      <c r="O4" s="40"/>
      <c r="P4" s="45"/>
      <c r="Q4" s="46"/>
    </row>
    <row r="5" spans="1:17" x14ac:dyDescent="0.2">
      <c r="A5" s="170" t="s">
        <v>71</v>
      </c>
      <c r="B5" s="170"/>
      <c r="C5" s="170"/>
      <c r="D5" s="170"/>
      <c r="E5" s="170"/>
      <c r="F5" s="170"/>
    </row>
    <row r="6" spans="1:17" x14ac:dyDescent="0.2">
      <c r="A6" s="166" t="s">
        <v>63</v>
      </c>
      <c r="B6" s="167"/>
      <c r="C6" s="167"/>
      <c r="D6" s="167"/>
      <c r="E6" s="168"/>
      <c r="F6" s="47">
        <v>80</v>
      </c>
    </row>
    <row r="7" spans="1:17" x14ac:dyDescent="0.2">
      <c r="A7" s="166" t="s">
        <v>62</v>
      </c>
      <c r="B7" s="167"/>
      <c r="C7" s="167"/>
      <c r="D7" s="167"/>
      <c r="E7" s="168"/>
      <c r="F7" s="47">
        <v>3</v>
      </c>
    </row>
    <row r="8" spans="1:17" x14ac:dyDescent="0.2">
      <c r="A8" s="166" t="s">
        <v>61</v>
      </c>
      <c r="B8" s="167"/>
      <c r="C8" s="167"/>
      <c r="D8" s="167"/>
      <c r="E8" s="168"/>
      <c r="F8" s="47">
        <v>90</v>
      </c>
    </row>
    <row r="9" spans="1:17" x14ac:dyDescent="0.2">
      <c r="A9" s="166" t="s">
        <v>60</v>
      </c>
      <c r="B9" s="167"/>
      <c r="C9" s="167"/>
      <c r="D9" s="167"/>
      <c r="E9" s="168"/>
      <c r="F9" s="49" t="s">
        <v>59</v>
      </c>
    </row>
    <row r="10" spans="1:17" x14ac:dyDescent="0.2">
      <c r="A10" s="166" t="s">
        <v>58</v>
      </c>
      <c r="B10" s="167"/>
      <c r="C10" s="167"/>
      <c r="D10" s="167"/>
      <c r="E10" s="168"/>
      <c r="F10" s="51">
        <f>'Valor médio gasolina comum'!C35</f>
        <v>4.7054137931034479</v>
      </c>
    </row>
    <row r="11" spans="1:17" x14ac:dyDescent="0.2">
      <c r="A11" s="166" t="s">
        <v>57</v>
      </c>
      <c r="B11" s="167"/>
      <c r="C11" s="167"/>
      <c r="D11" s="167"/>
      <c r="E11" s="168"/>
      <c r="F11" s="47">
        <v>10</v>
      </c>
    </row>
    <row r="12" spans="1:17" s="44" customFormat="1" x14ac:dyDescent="0.2">
      <c r="A12" s="166" t="s">
        <v>56</v>
      </c>
      <c r="B12" s="167"/>
      <c r="C12" s="167"/>
      <c r="D12" s="167"/>
      <c r="E12" s="168"/>
      <c r="F12" s="52">
        <v>200</v>
      </c>
      <c r="G12" s="43"/>
      <c r="H12" s="43"/>
      <c r="I12" s="43"/>
      <c r="J12" s="43"/>
      <c r="N12" s="40"/>
      <c r="O12" s="40"/>
      <c r="P12" s="45"/>
      <c r="Q12" s="46"/>
    </row>
    <row r="14" spans="1:17" x14ac:dyDescent="0.2">
      <c r="A14" s="57"/>
      <c r="B14" s="57"/>
      <c r="C14" s="57"/>
    </row>
    <row r="15" spans="1:17" ht="12" thickBot="1" x14ac:dyDescent="0.25">
      <c r="A15" s="57"/>
      <c r="B15" s="57"/>
      <c r="C15" s="57"/>
    </row>
    <row r="16" spans="1:17" s="68" customFormat="1" ht="112.5" x14ac:dyDescent="0.2">
      <c r="A16" s="58" t="s">
        <v>55</v>
      </c>
      <c r="B16" s="117" t="s">
        <v>68</v>
      </c>
      <c r="C16" s="59" t="s">
        <v>53</v>
      </c>
      <c r="D16" s="60" t="s">
        <v>123</v>
      </c>
      <c r="E16" s="118" t="s">
        <v>70</v>
      </c>
      <c r="F16" s="62" t="s">
        <v>51</v>
      </c>
      <c r="G16" s="63" t="s">
        <v>50</v>
      </c>
      <c r="H16" s="63" t="s">
        <v>49</v>
      </c>
      <c r="I16" s="63" t="s">
        <v>48</v>
      </c>
      <c r="J16" s="59" t="s">
        <v>47</v>
      </c>
      <c r="K16" s="59" t="s">
        <v>46</v>
      </c>
      <c r="L16" s="59" t="s">
        <v>124</v>
      </c>
      <c r="M16" s="59" t="s">
        <v>45</v>
      </c>
      <c r="N16" s="64" t="s">
        <v>122</v>
      </c>
      <c r="O16" s="65" t="s">
        <v>44</v>
      </c>
      <c r="P16" s="66"/>
      <c r="Q16" s="67" t="s">
        <v>43</v>
      </c>
    </row>
    <row r="17" spans="1:18" s="78" customFormat="1" x14ac:dyDescent="0.2">
      <c r="A17" s="69" t="s">
        <v>42</v>
      </c>
      <c r="B17" s="70" t="s">
        <v>42</v>
      </c>
      <c r="C17" s="70" t="s">
        <v>41</v>
      </c>
      <c r="D17" s="71" t="s">
        <v>40</v>
      </c>
      <c r="E17" s="72" t="s">
        <v>40</v>
      </c>
      <c r="F17" s="73" t="s">
        <v>40</v>
      </c>
      <c r="G17" s="71" t="s">
        <v>39</v>
      </c>
      <c r="H17" s="71" t="s">
        <v>38</v>
      </c>
      <c r="I17" s="70" t="s">
        <v>38</v>
      </c>
      <c r="J17" s="70" t="s">
        <v>37</v>
      </c>
      <c r="K17" s="70" t="s">
        <v>37</v>
      </c>
      <c r="L17" s="70" t="s">
        <v>37</v>
      </c>
      <c r="M17" s="70" t="s">
        <v>37</v>
      </c>
      <c r="N17" s="74">
        <f>Postos!C128</f>
        <v>0.24972085385878495</v>
      </c>
      <c r="O17" s="75" t="s">
        <v>37</v>
      </c>
      <c r="P17" s="76"/>
      <c r="Q17" s="77"/>
    </row>
    <row r="18" spans="1:18" s="78" customFormat="1" x14ac:dyDescent="0.2">
      <c r="A18" s="79">
        <v>200</v>
      </c>
      <c r="B18" s="120">
        <v>60</v>
      </c>
      <c r="C18" s="81">
        <f t="shared" ref="C18:C44" si="0">((A18+B18)/10)</f>
        <v>26</v>
      </c>
      <c r="D18" s="82">
        <f t="shared" ref="D18:D44" si="1">((A18+B18)/80)</f>
        <v>3.25</v>
      </c>
      <c r="E18" s="121">
        <v>9</v>
      </c>
      <c r="F18" s="84">
        <f t="shared" ref="F18:F44" si="2">D18+E18</f>
        <v>12.25</v>
      </c>
      <c r="G18" s="85">
        <f t="shared" ref="G18:G44" si="3">F18/9</f>
        <v>1.3611111111111112</v>
      </c>
      <c r="H18" s="119">
        <f t="shared" ref="H18:H44" si="4">ROUNDUP(G18,0)</f>
        <v>2</v>
      </c>
      <c r="I18" s="87">
        <f t="shared" ref="I18:I44" si="5">H18-0.5</f>
        <v>1.5</v>
      </c>
      <c r="J18" s="88">
        <f t="shared" ref="J18:J44" si="6">C18*$F$10</f>
        <v>122.34075862068964</v>
      </c>
      <c r="K18" s="89">
        <f t="shared" ref="K18:K44" si="7">H18*$F$8</f>
        <v>180</v>
      </c>
      <c r="L18" s="89">
        <f t="shared" ref="L18:L44" si="8">(I18*$F$12)*1</f>
        <v>300</v>
      </c>
      <c r="M18" s="90">
        <f t="shared" ref="M18:M44" si="9">J18+K18+L18</f>
        <v>602.34075862068971</v>
      </c>
      <c r="N18" s="88">
        <f>M18*$N$17</f>
        <v>150.41704855670693</v>
      </c>
      <c r="O18" s="91">
        <f t="shared" ref="O18:O44" si="10">M18+N18</f>
        <v>752.75780717739667</v>
      </c>
      <c r="P18" s="66">
        <v>1</v>
      </c>
      <c r="Q18" s="92">
        <f t="shared" ref="Q18:Q44" si="11">O18/H18</f>
        <v>376.37890358869834</v>
      </c>
      <c r="R18" s="93"/>
    </row>
    <row r="19" spans="1:18" s="68" customFormat="1" x14ac:dyDescent="0.2">
      <c r="A19" s="79">
        <v>300</v>
      </c>
      <c r="B19" s="120">
        <v>60</v>
      </c>
      <c r="C19" s="81">
        <f t="shared" si="0"/>
        <v>36</v>
      </c>
      <c r="D19" s="82">
        <f t="shared" si="1"/>
        <v>4.5</v>
      </c>
      <c r="E19" s="121">
        <v>9</v>
      </c>
      <c r="F19" s="84">
        <f t="shared" si="2"/>
        <v>13.5</v>
      </c>
      <c r="G19" s="85">
        <f t="shared" si="3"/>
        <v>1.5</v>
      </c>
      <c r="H19" s="119">
        <f t="shared" si="4"/>
        <v>2</v>
      </c>
      <c r="I19" s="87">
        <f t="shared" si="5"/>
        <v>1.5</v>
      </c>
      <c r="J19" s="88">
        <f t="shared" si="6"/>
        <v>169.39489655172412</v>
      </c>
      <c r="K19" s="89">
        <f t="shared" si="7"/>
        <v>180</v>
      </c>
      <c r="L19" s="89">
        <f t="shared" si="8"/>
        <v>300</v>
      </c>
      <c r="M19" s="90">
        <f t="shared" si="9"/>
        <v>649.39489655172406</v>
      </c>
      <c r="N19" s="88">
        <f t="shared" ref="N19:N44" si="12">M19*$N$17</f>
        <v>162.16744805843385</v>
      </c>
      <c r="O19" s="91">
        <f t="shared" si="10"/>
        <v>811.56234461015788</v>
      </c>
      <c r="P19" s="66">
        <v>2</v>
      </c>
      <c r="Q19" s="92">
        <f t="shared" si="11"/>
        <v>405.78117230507894</v>
      </c>
      <c r="R19" s="94"/>
    </row>
    <row r="20" spans="1:18" s="68" customFormat="1" x14ac:dyDescent="0.2">
      <c r="A20" s="79">
        <v>400</v>
      </c>
      <c r="B20" s="120">
        <v>60</v>
      </c>
      <c r="C20" s="81">
        <f t="shared" si="0"/>
        <v>46</v>
      </c>
      <c r="D20" s="82">
        <f t="shared" si="1"/>
        <v>5.75</v>
      </c>
      <c r="E20" s="121">
        <v>9</v>
      </c>
      <c r="F20" s="84">
        <f t="shared" si="2"/>
        <v>14.75</v>
      </c>
      <c r="G20" s="85">
        <f t="shared" si="3"/>
        <v>1.6388888888888888</v>
      </c>
      <c r="H20" s="119">
        <f t="shared" si="4"/>
        <v>2</v>
      </c>
      <c r="I20" s="87">
        <f t="shared" si="5"/>
        <v>1.5</v>
      </c>
      <c r="J20" s="88">
        <f t="shared" si="6"/>
        <v>216.44903448275861</v>
      </c>
      <c r="K20" s="89">
        <f t="shared" si="7"/>
        <v>180</v>
      </c>
      <c r="L20" s="89">
        <f t="shared" si="8"/>
        <v>300</v>
      </c>
      <c r="M20" s="90">
        <f t="shared" si="9"/>
        <v>696.44903448275863</v>
      </c>
      <c r="N20" s="88">
        <f t="shared" si="12"/>
        <v>173.91784756016085</v>
      </c>
      <c r="O20" s="91">
        <f t="shared" si="10"/>
        <v>870.36688204291954</v>
      </c>
      <c r="P20" s="66">
        <v>3</v>
      </c>
      <c r="Q20" s="92">
        <f t="shared" si="11"/>
        <v>435.18344102145977</v>
      </c>
      <c r="R20" s="93"/>
    </row>
    <row r="21" spans="1:18" s="68" customFormat="1" x14ac:dyDescent="0.2">
      <c r="A21" s="79">
        <v>500</v>
      </c>
      <c r="B21" s="120">
        <v>60</v>
      </c>
      <c r="C21" s="81">
        <f t="shared" si="0"/>
        <v>56</v>
      </c>
      <c r="D21" s="82">
        <f t="shared" si="1"/>
        <v>7</v>
      </c>
      <c r="E21" s="121">
        <v>9</v>
      </c>
      <c r="F21" s="84">
        <f t="shared" si="2"/>
        <v>16</v>
      </c>
      <c r="G21" s="85">
        <f t="shared" si="3"/>
        <v>1.7777777777777777</v>
      </c>
      <c r="H21" s="119">
        <f t="shared" si="4"/>
        <v>2</v>
      </c>
      <c r="I21" s="87">
        <f t="shared" si="5"/>
        <v>1.5</v>
      </c>
      <c r="J21" s="88">
        <f t="shared" si="6"/>
        <v>263.5031724137931</v>
      </c>
      <c r="K21" s="89">
        <f t="shared" si="7"/>
        <v>180</v>
      </c>
      <c r="L21" s="89">
        <f t="shared" si="8"/>
        <v>300</v>
      </c>
      <c r="M21" s="90">
        <f t="shared" si="9"/>
        <v>743.5031724137931</v>
      </c>
      <c r="N21" s="88">
        <f t="shared" si="12"/>
        <v>185.66824706188783</v>
      </c>
      <c r="O21" s="91">
        <f t="shared" si="10"/>
        <v>929.17141947568098</v>
      </c>
      <c r="P21" s="66">
        <v>4</v>
      </c>
      <c r="Q21" s="92">
        <f t="shared" si="11"/>
        <v>464.58570973784049</v>
      </c>
      <c r="R21" s="93"/>
    </row>
    <row r="22" spans="1:18" s="68" customFormat="1" x14ac:dyDescent="0.2">
      <c r="A22" s="79">
        <v>600</v>
      </c>
      <c r="B22" s="120">
        <v>60</v>
      </c>
      <c r="C22" s="81">
        <f t="shared" si="0"/>
        <v>66</v>
      </c>
      <c r="D22" s="82">
        <f t="shared" si="1"/>
        <v>8.25</v>
      </c>
      <c r="E22" s="121">
        <v>9</v>
      </c>
      <c r="F22" s="84">
        <f t="shared" si="2"/>
        <v>17.25</v>
      </c>
      <c r="G22" s="85">
        <f t="shared" si="3"/>
        <v>1.9166666666666667</v>
      </c>
      <c r="H22" s="119">
        <f t="shared" si="4"/>
        <v>2</v>
      </c>
      <c r="I22" s="87">
        <f t="shared" si="5"/>
        <v>1.5</v>
      </c>
      <c r="J22" s="88">
        <f t="shared" si="6"/>
        <v>310.55731034482756</v>
      </c>
      <c r="K22" s="89">
        <f t="shared" si="7"/>
        <v>180</v>
      </c>
      <c r="L22" s="89">
        <f t="shared" si="8"/>
        <v>300</v>
      </c>
      <c r="M22" s="90">
        <f t="shared" si="9"/>
        <v>790.55731034482756</v>
      </c>
      <c r="N22" s="88">
        <f t="shared" si="12"/>
        <v>197.41864656361477</v>
      </c>
      <c r="O22" s="91">
        <f t="shared" si="10"/>
        <v>987.9759569084423</v>
      </c>
      <c r="P22" s="66">
        <v>5</v>
      </c>
      <c r="Q22" s="92">
        <f t="shared" si="11"/>
        <v>493.98797845422115</v>
      </c>
      <c r="R22" s="93"/>
    </row>
    <row r="23" spans="1:18" s="68" customFormat="1" x14ac:dyDescent="0.2">
      <c r="A23" s="79">
        <v>700</v>
      </c>
      <c r="B23" s="120">
        <v>60</v>
      </c>
      <c r="C23" s="81">
        <f t="shared" si="0"/>
        <v>76</v>
      </c>
      <c r="D23" s="82">
        <f t="shared" si="1"/>
        <v>9.5</v>
      </c>
      <c r="E23" s="121">
        <v>9</v>
      </c>
      <c r="F23" s="84">
        <f t="shared" si="2"/>
        <v>18.5</v>
      </c>
      <c r="G23" s="85">
        <f t="shared" si="3"/>
        <v>2.0555555555555554</v>
      </c>
      <c r="H23" s="119">
        <f t="shared" si="4"/>
        <v>3</v>
      </c>
      <c r="I23" s="87">
        <f t="shared" si="5"/>
        <v>2.5</v>
      </c>
      <c r="J23" s="88">
        <f t="shared" si="6"/>
        <v>357.61144827586202</v>
      </c>
      <c r="K23" s="89">
        <f t="shared" si="7"/>
        <v>270</v>
      </c>
      <c r="L23" s="89">
        <f t="shared" si="8"/>
        <v>500</v>
      </c>
      <c r="M23" s="90">
        <f t="shared" si="9"/>
        <v>1127.6114482758621</v>
      </c>
      <c r="N23" s="88">
        <f t="shared" si="12"/>
        <v>281.58809368438943</v>
      </c>
      <c r="O23" s="91">
        <f t="shared" si="10"/>
        <v>1409.1995419602515</v>
      </c>
      <c r="P23" s="66">
        <v>6</v>
      </c>
      <c r="Q23" s="92">
        <f t="shared" si="11"/>
        <v>469.73318065341715</v>
      </c>
      <c r="R23" s="93"/>
    </row>
    <row r="24" spans="1:18" s="68" customFormat="1" x14ac:dyDescent="0.2">
      <c r="A24" s="79">
        <v>800</v>
      </c>
      <c r="B24" s="120">
        <v>60</v>
      </c>
      <c r="C24" s="81">
        <f t="shared" si="0"/>
        <v>86</v>
      </c>
      <c r="D24" s="82">
        <f t="shared" si="1"/>
        <v>10.75</v>
      </c>
      <c r="E24" s="121">
        <v>9</v>
      </c>
      <c r="F24" s="84">
        <f t="shared" si="2"/>
        <v>19.75</v>
      </c>
      <c r="G24" s="85">
        <f t="shared" si="3"/>
        <v>2.1944444444444446</v>
      </c>
      <c r="H24" s="119">
        <f t="shared" si="4"/>
        <v>3</v>
      </c>
      <c r="I24" s="87">
        <f t="shared" si="5"/>
        <v>2.5</v>
      </c>
      <c r="J24" s="88">
        <f t="shared" si="6"/>
        <v>404.66558620689653</v>
      </c>
      <c r="K24" s="89">
        <f t="shared" si="7"/>
        <v>270</v>
      </c>
      <c r="L24" s="89">
        <f t="shared" si="8"/>
        <v>500</v>
      </c>
      <c r="M24" s="90">
        <f t="shared" si="9"/>
        <v>1174.6655862068965</v>
      </c>
      <c r="N24" s="88">
        <f t="shared" si="12"/>
        <v>293.33849318611635</v>
      </c>
      <c r="O24" s="91">
        <f t="shared" si="10"/>
        <v>1468.0040793930129</v>
      </c>
      <c r="P24" s="66">
        <v>7</v>
      </c>
      <c r="Q24" s="92">
        <f t="shared" si="11"/>
        <v>489.33469313100431</v>
      </c>
      <c r="R24" s="93"/>
    </row>
    <row r="25" spans="1:18" s="68" customFormat="1" x14ac:dyDescent="0.2">
      <c r="A25" s="79">
        <v>900</v>
      </c>
      <c r="B25" s="120">
        <v>60</v>
      </c>
      <c r="C25" s="81">
        <f t="shared" si="0"/>
        <v>96</v>
      </c>
      <c r="D25" s="82">
        <f t="shared" si="1"/>
        <v>12</v>
      </c>
      <c r="E25" s="121">
        <v>9</v>
      </c>
      <c r="F25" s="84">
        <f t="shared" si="2"/>
        <v>21</v>
      </c>
      <c r="G25" s="85">
        <f t="shared" si="3"/>
        <v>2.3333333333333335</v>
      </c>
      <c r="H25" s="119">
        <f t="shared" si="4"/>
        <v>3</v>
      </c>
      <c r="I25" s="87">
        <f t="shared" si="5"/>
        <v>2.5</v>
      </c>
      <c r="J25" s="88">
        <f t="shared" si="6"/>
        <v>451.719724137931</v>
      </c>
      <c r="K25" s="89">
        <f t="shared" si="7"/>
        <v>270</v>
      </c>
      <c r="L25" s="89">
        <f t="shared" si="8"/>
        <v>500</v>
      </c>
      <c r="M25" s="90">
        <f t="shared" si="9"/>
        <v>1221.7197241379311</v>
      </c>
      <c r="N25" s="88">
        <f t="shared" si="12"/>
        <v>305.08889268784333</v>
      </c>
      <c r="O25" s="91">
        <f t="shared" si="10"/>
        <v>1526.8086168257744</v>
      </c>
      <c r="P25" s="66">
        <v>8</v>
      </c>
      <c r="Q25" s="92">
        <f t="shared" si="11"/>
        <v>508.93620560859148</v>
      </c>
      <c r="R25" s="93"/>
    </row>
    <row r="26" spans="1:18" s="68" customFormat="1" x14ac:dyDescent="0.2">
      <c r="A26" s="79">
        <v>1000</v>
      </c>
      <c r="B26" s="120">
        <v>60</v>
      </c>
      <c r="C26" s="81">
        <f t="shared" si="0"/>
        <v>106</v>
      </c>
      <c r="D26" s="82">
        <f t="shared" si="1"/>
        <v>13.25</v>
      </c>
      <c r="E26" s="121">
        <v>9</v>
      </c>
      <c r="F26" s="84">
        <f t="shared" si="2"/>
        <v>22.25</v>
      </c>
      <c r="G26" s="85">
        <f t="shared" si="3"/>
        <v>2.4722222222222223</v>
      </c>
      <c r="H26" s="119">
        <f t="shared" si="4"/>
        <v>3</v>
      </c>
      <c r="I26" s="87">
        <f t="shared" si="5"/>
        <v>2.5</v>
      </c>
      <c r="J26" s="88">
        <f t="shared" si="6"/>
        <v>498.77386206896546</v>
      </c>
      <c r="K26" s="89">
        <f t="shared" si="7"/>
        <v>270</v>
      </c>
      <c r="L26" s="89">
        <f t="shared" si="8"/>
        <v>500</v>
      </c>
      <c r="M26" s="90">
        <f t="shared" si="9"/>
        <v>1268.7738620689654</v>
      </c>
      <c r="N26" s="88">
        <f t="shared" si="12"/>
        <v>316.8392921895703</v>
      </c>
      <c r="O26" s="91">
        <f t="shared" si="10"/>
        <v>1585.6131542585358</v>
      </c>
      <c r="P26" s="66">
        <v>9</v>
      </c>
      <c r="Q26" s="92">
        <f t="shared" si="11"/>
        <v>528.53771808617864</v>
      </c>
      <c r="R26" s="93"/>
    </row>
    <row r="27" spans="1:18" s="68" customFormat="1" x14ac:dyDescent="0.2">
      <c r="A27" s="79">
        <v>1100</v>
      </c>
      <c r="B27" s="120">
        <v>60</v>
      </c>
      <c r="C27" s="81">
        <f t="shared" si="0"/>
        <v>116</v>
      </c>
      <c r="D27" s="82">
        <f t="shared" si="1"/>
        <v>14.5</v>
      </c>
      <c r="E27" s="121">
        <v>9</v>
      </c>
      <c r="F27" s="84">
        <f t="shared" si="2"/>
        <v>23.5</v>
      </c>
      <c r="G27" s="85">
        <f t="shared" si="3"/>
        <v>2.6111111111111112</v>
      </c>
      <c r="H27" s="119">
        <f t="shared" si="4"/>
        <v>3</v>
      </c>
      <c r="I27" s="87">
        <f t="shared" si="5"/>
        <v>2.5</v>
      </c>
      <c r="J27" s="88">
        <f t="shared" si="6"/>
        <v>545.82799999999997</v>
      </c>
      <c r="K27" s="89">
        <f t="shared" si="7"/>
        <v>270</v>
      </c>
      <c r="L27" s="89">
        <f t="shared" si="8"/>
        <v>500</v>
      </c>
      <c r="M27" s="90">
        <f t="shared" si="9"/>
        <v>1315.828</v>
      </c>
      <c r="N27" s="88">
        <f t="shared" si="12"/>
        <v>328.58969169129728</v>
      </c>
      <c r="O27" s="91">
        <f t="shared" si="10"/>
        <v>1644.4176916912973</v>
      </c>
      <c r="P27" s="66">
        <v>10</v>
      </c>
      <c r="Q27" s="92">
        <f t="shared" si="11"/>
        <v>548.13923056376575</v>
      </c>
      <c r="R27" s="93"/>
    </row>
    <row r="28" spans="1:18" s="68" customFormat="1" x14ac:dyDescent="0.2">
      <c r="A28" s="79">
        <v>1200</v>
      </c>
      <c r="B28" s="120">
        <v>60</v>
      </c>
      <c r="C28" s="81">
        <f t="shared" si="0"/>
        <v>126</v>
      </c>
      <c r="D28" s="82">
        <f t="shared" si="1"/>
        <v>15.75</v>
      </c>
      <c r="E28" s="121">
        <v>9</v>
      </c>
      <c r="F28" s="84">
        <f t="shared" si="2"/>
        <v>24.75</v>
      </c>
      <c r="G28" s="85">
        <f t="shared" si="3"/>
        <v>2.75</v>
      </c>
      <c r="H28" s="119">
        <f t="shared" si="4"/>
        <v>3</v>
      </c>
      <c r="I28" s="87">
        <f t="shared" si="5"/>
        <v>2.5</v>
      </c>
      <c r="J28" s="88">
        <f t="shared" si="6"/>
        <v>592.88213793103444</v>
      </c>
      <c r="K28" s="89">
        <f t="shared" si="7"/>
        <v>270</v>
      </c>
      <c r="L28" s="89">
        <f t="shared" si="8"/>
        <v>500</v>
      </c>
      <c r="M28" s="90">
        <f t="shared" si="9"/>
        <v>1362.8821379310343</v>
      </c>
      <c r="N28" s="88">
        <f t="shared" si="12"/>
        <v>340.34009119302419</v>
      </c>
      <c r="O28" s="91">
        <f t="shared" si="10"/>
        <v>1703.2222291240585</v>
      </c>
      <c r="P28" s="66">
        <v>11</v>
      </c>
      <c r="Q28" s="92">
        <f t="shared" si="11"/>
        <v>567.74074304135286</v>
      </c>
      <c r="R28" s="93"/>
    </row>
    <row r="29" spans="1:18" s="68" customFormat="1" x14ac:dyDescent="0.2">
      <c r="A29" s="79">
        <v>1300</v>
      </c>
      <c r="B29" s="120">
        <v>60</v>
      </c>
      <c r="C29" s="81">
        <f t="shared" si="0"/>
        <v>136</v>
      </c>
      <c r="D29" s="82">
        <f t="shared" si="1"/>
        <v>17</v>
      </c>
      <c r="E29" s="121">
        <v>9</v>
      </c>
      <c r="F29" s="84">
        <f t="shared" si="2"/>
        <v>26</v>
      </c>
      <c r="G29" s="85">
        <f t="shared" si="3"/>
        <v>2.8888888888888888</v>
      </c>
      <c r="H29" s="119">
        <f t="shared" si="4"/>
        <v>3</v>
      </c>
      <c r="I29" s="87">
        <f t="shared" si="5"/>
        <v>2.5</v>
      </c>
      <c r="J29" s="88">
        <f t="shared" si="6"/>
        <v>639.9362758620689</v>
      </c>
      <c r="K29" s="89">
        <f t="shared" si="7"/>
        <v>270</v>
      </c>
      <c r="L29" s="89">
        <f t="shared" si="8"/>
        <v>500</v>
      </c>
      <c r="M29" s="90">
        <f t="shared" si="9"/>
        <v>1409.9362758620689</v>
      </c>
      <c r="N29" s="88">
        <f t="shared" si="12"/>
        <v>352.09049069475122</v>
      </c>
      <c r="O29" s="91">
        <f t="shared" si="10"/>
        <v>1762.0267665568201</v>
      </c>
      <c r="P29" s="66">
        <v>12</v>
      </c>
      <c r="Q29" s="92">
        <f t="shared" si="11"/>
        <v>587.34225551894008</v>
      </c>
      <c r="R29" s="93"/>
    </row>
    <row r="30" spans="1:18" s="68" customFormat="1" x14ac:dyDescent="0.2">
      <c r="A30" s="79">
        <v>1400</v>
      </c>
      <c r="B30" s="120">
        <v>60</v>
      </c>
      <c r="C30" s="81">
        <f t="shared" si="0"/>
        <v>146</v>
      </c>
      <c r="D30" s="82">
        <f t="shared" si="1"/>
        <v>18.25</v>
      </c>
      <c r="E30" s="121">
        <v>9</v>
      </c>
      <c r="F30" s="84">
        <f t="shared" si="2"/>
        <v>27.25</v>
      </c>
      <c r="G30" s="85">
        <f t="shared" si="3"/>
        <v>3.0277777777777777</v>
      </c>
      <c r="H30" s="119">
        <f t="shared" si="4"/>
        <v>4</v>
      </c>
      <c r="I30" s="87">
        <f t="shared" si="5"/>
        <v>3.5</v>
      </c>
      <c r="J30" s="88">
        <f t="shared" si="6"/>
        <v>686.99041379310336</v>
      </c>
      <c r="K30" s="89">
        <f t="shared" si="7"/>
        <v>360</v>
      </c>
      <c r="L30" s="89">
        <f t="shared" si="8"/>
        <v>700</v>
      </c>
      <c r="M30" s="90">
        <f t="shared" si="9"/>
        <v>1746.9904137931035</v>
      </c>
      <c r="N30" s="88">
        <f t="shared" si="12"/>
        <v>436.25993781552586</v>
      </c>
      <c r="O30" s="91">
        <f t="shared" si="10"/>
        <v>2183.2503516086294</v>
      </c>
      <c r="P30" s="66">
        <v>13</v>
      </c>
      <c r="Q30" s="92">
        <f t="shared" si="11"/>
        <v>545.81258790215736</v>
      </c>
      <c r="R30" s="93"/>
    </row>
    <row r="31" spans="1:18" s="68" customFormat="1" x14ac:dyDescent="0.2">
      <c r="A31" s="79">
        <v>1500</v>
      </c>
      <c r="B31" s="120">
        <v>60</v>
      </c>
      <c r="C31" s="81">
        <f t="shared" si="0"/>
        <v>156</v>
      </c>
      <c r="D31" s="82">
        <f t="shared" si="1"/>
        <v>19.5</v>
      </c>
      <c r="E31" s="121">
        <v>9</v>
      </c>
      <c r="F31" s="84">
        <f t="shared" si="2"/>
        <v>28.5</v>
      </c>
      <c r="G31" s="85">
        <f t="shared" si="3"/>
        <v>3.1666666666666665</v>
      </c>
      <c r="H31" s="119">
        <f t="shared" si="4"/>
        <v>4</v>
      </c>
      <c r="I31" s="87">
        <f t="shared" si="5"/>
        <v>3.5</v>
      </c>
      <c r="J31" s="88">
        <f t="shared" si="6"/>
        <v>734.04455172413782</v>
      </c>
      <c r="K31" s="89">
        <f t="shared" si="7"/>
        <v>360</v>
      </c>
      <c r="L31" s="89">
        <f t="shared" si="8"/>
        <v>700</v>
      </c>
      <c r="M31" s="90">
        <f t="shared" si="9"/>
        <v>1794.0445517241378</v>
      </c>
      <c r="N31" s="88">
        <f t="shared" si="12"/>
        <v>448.01033731725278</v>
      </c>
      <c r="O31" s="91">
        <f t="shared" si="10"/>
        <v>2242.0548890413907</v>
      </c>
      <c r="P31" s="66">
        <v>14</v>
      </c>
      <c r="Q31" s="92">
        <f t="shared" si="11"/>
        <v>560.51372226034766</v>
      </c>
      <c r="R31" s="93"/>
    </row>
    <row r="32" spans="1:18" s="68" customFormat="1" x14ac:dyDescent="0.2">
      <c r="A32" s="79">
        <v>1600</v>
      </c>
      <c r="B32" s="120">
        <v>60</v>
      </c>
      <c r="C32" s="81">
        <f t="shared" si="0"/>
        <v>166</v>
      </c>
      <c r="D32" s="82">
        <f t="shared" si="1"/>
        <v>20.75</v>
      </c>
      <c r="E32" s="121">
        <v>9</v>
      </c>
      <c r="F32" s="84">
        <f t="shared" si="2"/>
        <v>29.75</v>
      </c>
      <c r="G32" s="85">
        <f t="shared" si="3"/>
        <v>3.3055555555555554</v>
      </c>
      <c r="H32" s="119">
        <f t="shared" si="4"/>
        <v>4</v>
      </c>
      <c r="I32" s="87">
        <f t="shared" si="5"/>
        <v>3.5</v>
      </c>
      <c r="J32" s="88">
        <f t="shared" si="6"/>
        <v>781.09868965517239</v>
      </c>
      <c r="K32" s="89">
        <f t="shared" si="7"/>
        <v>360</v>
      </c>
      <c r="L32" s="89">
        <f t="shared" si="8"/>
        <v>700</v>
      </c>
      <c r="M32" s="90">
        <f t="shared" si="9"/>
        <v>1841.0986896551724</v>
      </c>
      <c r="N32" s="88">
        <f t="shared" si="12"/>
        <v>459.76073681897975</v>
      </c>
      <c r="O32" s="91">
        <f t="shared" si="10"/>
        <v>2300.8594264741523</v>
      </c>
      <c r="P32" s="66">
        <v>15</v>
      </c>
      <c r="Q32" s="92">
        <f t="shared" si="11"/>
        <v>575.21485661853808</v>
      </c>
      <c r="R32" s="93"/>
    </row>
    <row r="33" spans="1:18" s="68" customFormat="1" x14ac:dyDescent="0.2">
      <c r="A33" s="79">
        <v>1700</v>
      </c>
      <c r="B33" s="120">
        <v>60</v>
      </c>
      <c r="C33" s="81">
        <f t="shared" si="0"/>
        <v>176</v>
      </c>
      <c r="D33" s="82">
        <f t="shared" si="1"/>
        <v>22</v>
      </c>
      <c r="E33" s="121">
        <v>9</v>
      </c>
      <c r="F33" s="84">
        <f t="shared" si="2"/>
        <v>31</v>
      </c>
      <c r="G33" s="85">
        <f t="shared" si="3"/>
        <v>3.4444444444444446</v>
      </c>
      <c r="H33" s="119">
        <f t="shared" si="4"/>
        <v>4</v>
      </c>
      <c r="I33" s="87">
        <f t="shared" si="5"/>
        <v>3.5</v>
      </c>
      <c r="J33" s="88">
        <f t="shared" si="6"/>
        <v>828.15282758620685</v>
      </c>
      <c r="K33" s="89">
        <f t="shared" si="7"/>
        <v>360</v>
      </c>
      <c r="L33" s="89">
        <f t="shared" si="8"/>
        <v>700</v>
      </c>
      <c r="M33" s="90">
        <f t="shared" si="9"/>
        <v>1888.152827586207</v>
      </c>
      <c r="N33" s="88">
        <f t="shared" si="12"/>
        <v>471.51113632070678</v>
      </c>
      <c r="O33" s="91">
        <f t="shared" si="10"/>
        <v>2359.6639639069135</v>
      </c>
      <c r="P33" s="66">
        <v>16</v>
      </c>
      <c r="Q33" s="92">
        <f t="shared" si="11"/>
        <v>589.91599097672838</v>
      </c>
      <c r="R33" s="93"/>
    </row>
    <row r="34" spans="1:18" s="68" customFormat="1" x14ac:dyDescent="0.2">
      <c r="A34" s="79">
        <v>1800</v>
      </c>
      <c r="B34" s="120">
        <v>60</v>
      </c>
      <c r="C34" s="81">
        <f t="shared" si="0"/>
        <v>186</v>
      </c>
      <c r="D34" s="82">
        <f t="shared" si="1"/>
        <v>23.25</v>
      </c>
      <c r="E34" s="121">
        <v>9</v>
      </c>
      <c r="F34" s="84">
        <f t="shared" si="2"/>
        <v>32.25</v>
      </c>
      <c r="G34" s="85">
        <f t="shared" si="3"/>
        <v>3.5833333333333335</v>
      </c>
      <c r="H34" s="119">
        <f t="shared" si="4"/>
        <v>4</v>
      </c>
      <c r="I34" s="87">
        <f t="shared" si="5"/>
        <v>3.5</v>
      </c>
      <c r="J34" s="88">
        <f t="shared" si="6"/>
        <v>875.20696551724131</v>
      </c>
      <c r="K34" s="89">
        <f t="shared" si="7"/>
        <v>360</v>
      </c>
      <c r="L34" s="89">
        <f t="shared" si="8"/>
        <v>700</v>
      </c>
      <c r="M34" s="90">
        <f t="shared" si="9"/>
        <v>1935.2069655172413</v>
      </c>
      <c r="N34" s="88">
        <f t="shared" si="12"/>
        <v>483.2615358224337</v>
      </c>
      <c r="O34" s="91">
        <f t="shared" si="10"/>
        <v>2418.4685013396752</v>
      </c>
      <c r="P34" s="66">
        <v>17</v>
      </c>
      <c r="Q34" s="92">
        <f t="shared" si="11"/>
        <v>604.6171253349188</v>
      </c>
      <c r="R34" s="93"/>
    </row>
    <row r="35" spans="1:18" s="68" customFormat="1" x14ac:dyDescent="0.2">
      <c r="A35" s="79">
        <v>1900</v>
      </c>
      <c r="B35" s="120">
        <v>60</v>
      </c>
      <c r="C35" s="81">
        <f t="shared" si="0"/>
        <v>196</v>
      </c>
      <c r="D35" s="82">
        <f t="shared" si="1"/>
        <v>24.5</v>
      </c>
      <c r="E35" s="121">
        <v>9</v>
      </c>
      <c r="F35" s="84">
        <f t="shared" si="2"/>
        <v>33.5</v>
      </c>
      <c r="G35" s="85">
        <f t="shared" si="3"/>
        <v>3.7222222222222223</v>
      </c>
      <c r="H35" s="119">
        <f t="shared" si="4"/>
        <v>4</v>
      </c>
      <c r="I35" s="87">
        <f t="shared" si="5"/>
        <v>3.5</v>
      </c>
      <c r="J35" s="88">
        <f t="shared" si="6"/>
        <v>922.26110344827578</v>
      </c>
      <c r="K35" s="89">
        <f t="shared" si="7"/>
        <v>360</v>
      </c>
      <c r="L35" s="89">
        <f t="shared" si="8"/>
        <v>700</v>
      </c>
      <c r="M35" s="90">
        <f t="shared" si="9"/>
        <v>1982.2611034482757</v>
      </c>
      <c r="N35" s="88">
        <f t="shared" si="12"/>
        <v>495.01193532416067</v>
      </c>
      <c r="O35" s="91">
        <f t="shared" si="10"/>
        <v>2477.2730387724364</v>
      </c>
      <c r="P35" s="66">
        <v>18</v>
      </c>
      <c r="Q35" s="92">
        <f t="shared" si="11"/>
        <v>619.3182596931091</v>
      </c>
      <c r="R35" s="93"/>
    </row>
    <row r="36" spans="1:18" s="68" customFormat="1" x14ac:dyDescent="0.2">
      <c r="A36" s="79">
        <v>2000</v>
      </c>
      <c r="B36" s="120">
        <v>60</v>
      </c>
      <c r="C36" s="81">
        <f t="shared" si="0"/>
        <v>206</v>
      </c>
      <c r="D36" s="82">
        <f t="shared" si="1"/>
        <v>25.75</v>
      </c>
      <c r="E36" s="121">
        <v>9</v>
      </c>
      <c r="F36" s="84">
        <f t="shared" si="2"/>
        <v>34.75</v>
      </c>
      <c r="G36" s="85">
        <f t="shared" si="3"/>
        <v>3.8611111111111112</v>
      </c>
      <c r="H36" s="119">
        <f t="shared" si="4"/>
        <v>4</v>
      </c>
      <c r="I36" s="87">
        <f t="shared" si="5"/>
        <v>3.5</v>
      </c>
      <c r="J36" s="88">
        <f t="shared" si="6"/>
        <v>969.31524137931024</v>
      </c>
      <c r="K36" s="89">
        <f t="shared" si="7"/>
        <v>360</v>
      </c>
      <c r="L36" s="89">
        <f t="shared" si="8"/>
        <v>700</v>
      </c>
      <c r="M36" s="90">
        <f t="shared" si="9"/>
        <v>2029.3152413793102</v>
      </c>
      <c r="N36" s="88">
        <f t="shared" si="12"/>
        <v>506.76233482588765</v>
      </c>
      <c r="O36" s="91">
        <f t="shared" si="10"/>
        <v>2536.0775762051981</v>
      </c>
      <c r="P36" s="66">
        <v>19</v>
      </c>
      <c r="Q36" s="92">
        <f t="shared" si="11"/>
        <v>634.01939405129951</v>
      </c>
      <c r="R36" s="93"/>
    </row>
    <row r="37" spans="1:18" s="68" customFormat="1" x14ac:dyDescent="0.2">
      <c r="A37" s="79">
        <v>2100</v>
      </c>
      <c r="B37" s="120">
        <v>60</v>
      </c>
      <c r="C37" s="81">
        <f t="shared" si="0"/>
        <v>216</v>
      </c>
      <c r="D37" s="82">
        <f t="shared" si="1"/>
        <v>27</v>
      </c>
      <c r="E37" s="121">
        <v>9</v>
      </c>
      <c r="F37" s="84">
        <f t="shared" si="2"/>
        <v>36</v>
      </c>
      <c r="G37" s="85">
        <f t="shared" si="3"/>
        <v>4</v>
      </c>
      <c r="H37" s="119">
        <f t="shared" si="4"/>
        <v>4</v>
      </c>
      <c r="I37" s="87">
        <f t="shared" si="5"/>
        <v>3.5</v>
      </c>
      <c r="J37" s="88">
        <f t="shared" si="6"/>
        <v>1016.3693793103447</v>
      </c>
      <c r="K37" s="89">
        <f t="shared" si="7"/>
        <v>360</v>
      </c>
      <c r="L37" s="89">
        <f t="shared" si="8"/>
        <v>700</v>
      </c>
      <c r="M37" s="90">
        <f t="shared" si="9"/>
        <v>2076.3693793103448</v>
      </c>
      <c r="N37" s="88">
        <f t="shared" si="12"/>
        <v>518.51273432761468</v>
      </c>
      <c r="O37" s="91">
        <f t="shared" si="10"/>
        <v>2594.8821136379593</v>
      </c>
      <c r="P37" s="66">
        <v>20</v>
      </c>
      <c r="Q37" s="92">
        <f t="shared" si="11"/>
        <v>648.72052840948982</v>
      </c>
      <c r="R37" s="93"/>
    </row>
    <row r="38" spans="1:18" s="68" customFormat="1" x14ac:dyDescent="0.2">
      <c r="A38" s="79">
        <v>2200</v>
      </c>
      <c r="B38" s="120">
        <v>60</v>
      </c>
      <c r="C38" s="81">
        <f t="shared" si="0"/>
        <v>226</v>
      </c>
      <c r="D38" s="82">
        <f t="shared" si="1"/>
        <v>28.25</v>
      </c>
      <c r="E38" s="121">
        <v>9</v>
      </c>
      <c r="F38" s="84">
        <f t="shared" si="2"/>
        <v>37.25</v>
      </c>
      <c r="G38" s="85">
        <f t="shared" si="3"/>
        <v>4.1388888888888893</v>
      </c>
      <c r="H38" s="119">
        <f t="shared" si="4"/>
        <v>5</v>
      </c>
      <c r="I38" s="87">
        <f t="shared" si="5"/>
        <v>4.5</v>
      </c>
      <c r="J38" s="88">
        <f t="shared" si="6"/>
        <v>1063.4235172413792</v>
      </c>
      <c r="K38" s="89">
        <f t="shared" si="7"/>
        <v>450</v>
      </c>
      <c r="L38" s="89">
        <f t="shared" si="8"/>
        <v>900</v>
      </c>
      <c r="M38" s="90">
        <f t="shared" si="9"/>
        <v>2413.4235172413792</v>
      </c>
      <c r="N38" s="88">
        <f t="shared" si="12"/>
        <v>602.6821814483892</v>
      </c>
      <c r="O38" s="91">
        <f t="shared" si="10"/>
        <v>3016.1056986897684</v>
      </c>
      <c r="P38" s="66">
        <v>21</v>
      </c>
      <c r="Q38" s="92">
        <f t="shared" si="11"/>
        <v>603.22113973795365</v>
      </c>
      <c r="R38" s="93"/>
    </row>
    <row r="39" spans="1:18" s="68" customFormat="1" x14ac:dyDescent="0.2">
      <c r="A39" s="79">
        <v>2300</v>
      </c>
      <c r="B39" s="120">
        <v>60</v>
      </c>
      <c r="C39" s="81">
        <f t="shared" si="0"/>
        <v>236</v>
      </c>
      <c r="D39" s="82">
        <f t="shared" si="1"/>
        <v>29.5</v>
      </c>
      <c r="E39" s="121">
        <v>9</v>
      </c>
      <c r="F39" s="84">
        <f t="shared" si="2"/>
        <v>38.5</v>
      </c>
      <c r="G39" s="85">
        <f t="shared" si="3"/>
        <v>4.2777777777777777</v>
      </c>
      <c r="H39" s="119">
        <f t="shared" si="4"/>
        <v>5</v>
      </c>
      <c r="I39" s="87">
        <f t="shared" si="5"/>
        <v>4.5</v>
      </c>
      <c r="J39" s="88">
        <f t="shared" si="6"/>
        <v>1110.4776551724137</v>
      </c>
      <c r="K39" s="89">
        <f t="shared" si="7"/>
        <v>450</v>
      </c>
      <c r="L39" s="89">
        <f t="shared" si="8"/>
        <v>900</v>
      </c>
      <c r="M39" s="90">
        <f t="shared" si="9"/>
        <v>2460.4776551724135</v>
      </c>
      <c r="N39" s="88">
        <f t="shared" si="12"/>
        <v>614.43258095011618</v>
      </c>
      <c r="O39" s="91">
        <f t="shared" si="10"/>
        <v>3074.9102361225296</v>
      </c>
      <c r="P39" s="66">
        <v>22</v>
      </c>
      <c r="Q39" s="92">
        <f t="shared" si="11"/>
        <v>614.98204722450589</v>
      </c>
      <c r="R39" s="93"/>
    </row>
    <row r="40" spans="1:18" s="68" customFormat="1" x14ac:dyDescent="0.2">
      <c r="A40" s="79">
        <v>2400</v>
      </c>
      <c r="B40" s="120">
        <v>60</v>
      </c>
      <c r="C40" s="81">
        <f t="shared" si="0"/>
        <v>246</v>
      </c>
      <c r="D40" s="82">
        <f t="shared" si="1"/>
        <v>30.75</v>
      </c>
      <c r="E40" s="121">
        <v>9</v>
      </c>
      <c r="F40" s="84">
        <f t="shared" si="2"/>
        <v>39.75</v>
      </c>
      <c r="G40" s="85">
        <f t="shared" si="3"/>
        <v>4.416666666666667</v>
      </c>
      <c r="H40" s="119">
        <f t="shared" si="4"/>
        <v>5</v>
      </c>
      <c r="I40" s="87">
        <f t="shared" si="5"/>
        <v>4.5</v>
      </c>
      <c r="J40" s="88">
        <f t="shared" si="6"/>
        <v>1157.5317931034481</v>
      </c>
      <c r="K40" s="89">
        <f t="shared" si="7"/>
        <v>450</v>
      </c>
      <c r="L40" s="89">
        <f t="shared" si="8"/>
        <v>900</v>
      </c>
      <c r="M40" s="90">
        <f t="shared" si="9"/>
        <v>2507.5317931034479</v>
      </c>
      <c r="N40" s="88">
        <f t="shared" si="12"/>
        <v>626.18298045184304</v>
      </c>
      <c r="O40" s="91">
        <f t="shared" si="10"/>
        <v>3133.7147735552908</v>
      </c>
      <c r="P40" s="66">
        <v>23</v>
      </c>
      <c r="Q40" s="92">
        <f t="shared" si="11"/>
        <v>626.74295471105813</v>
      </c>
      <c r="R40" s="93"/>
    </row>
    <row r="41" spans="1:18" s="68" customFormat="1" x14ac:dyDescent="0.2">
      <c r="A41" s="79">
        <v>2500</v>
      </c>
      <c r="B41" s="120">
        <v>60</v>
      </c>
      <c r="C41" s="81">
        <f t="shared" si="0"/>
        <v>256</v>
      </c>
      <c r="D41" s="82">
        <f t="shared" si="1"/>
        <v>32</v>
      </c>
      <c r="E41" s="121">
        <v>9</v>
      </c>
      <c r="F41" s="84">
        <f t="shared" si="2"/>
        <v>41</v>
      </c>
      <c r="G41" s="85">
        <f t="shared" si="3"/>
        <v>4.5555555555555554</v>
      </c>
      <c r="H41" s="119">
        <f t="shared" si="4"/>
        <v>5</v>
      </c>
      <c r="I41" s="87">
        <f t="shared" si="5"/>
        <v>4.5</v>
      </c>
      <c r="J41" s="88">
        <f t="shared" si="6"/>
        <v>1204.5859310344827</v>
      </c>
      <c r="K41" s="89">
        <f t="shared" si="7"/>
        <v>450</v>
      </c>
      <c r="L41" s="89">
        <f t="shared" si="8"/>
        <v>900</v>
      </c>
      <c r="M41" s="90">
        <f t="shared" si="9"/>
        <v>2554.5859310344827</v>
      </c>
      <c r="N41" s="88">
        <f t="shared" si="12"/>
        <v>637.93337995357012</v>
      </c>
      <c r="O41" s="91">
        <f t="shared" si="10"/>
        <v>3192.5193109880529</v>
      </c>
      <c r="P41" s="66">
        <v>24</v>
      </c>
      <c r="Q41" s="92">
        <f t="shared" si="11"/>
        <v>638.5038621976106</v>
      </c>
      <c r="R41" s="93"/>
    </row>
    <row r="42" spans="1:18" s="68" customFormat="1" x14ac:dyDescent="0.2">
      <c r="A42" s="79">
        <v>2600</v>
      </c>
      <c r="B42" s="120">
        <v>60</v>
      </c>
      <c r="C42" s="81">
        <f t="shared" si="0"/>
        <v>266</v>
      </c>
      <c r="D42" s="82">
        <f t="shared" si="1"/>
        <v>33.25</v>
      </c>
      <c r="E42" s="121">
        <v>9</v>
      </c>
      <c r="F42" s="84">
        <f t="shared" si="2"/>
        <v>42.25</v>
      </c>
      <c r="G42" s="85">
        <f t="shared" si="3"/>
        <v>4.6944444444444446</v>
      </c>
      <c r="H42" s="119">
        <f t="shared" si="4"/>
        <v>5</v>
      </c>
      <c r="I42" s="87">
        <f t="shared" si="5"/>
        <v>4.5</v>
      </c>
      <c r="J42" s="88">
        <f t="shared" si="6"/>
        <v>1251.6400689655172</v>
      </c>
      <c r="K42" s="89">
        <f t="shared" si="7"/>
        <v>450</v>
      </c>
      <c r="L42" s="89">
        <f t="shared" si="8"/>
        <v>900</v>
      </c>
      <c r="M42" s="90">
        <f t="shared" si="9"/>
        <v>2601.6400689655175</v>
      </c>
      <c r="N42" s="88">
        <f t="shared" si="12"/>
        <v>649.68377945529721</v>
      </c>
      <c r="O42" s="91">
        <f t="shared" si="10"/>
        <v>3251.3238484208146</v>
      </c>
      <c r="P42" s="66">
        <v>25</v>
      </c>
      <c r="Q42" s="92">
        <f t="shared" si="11"/>
        <v>650.26476968416296</v>
      </c>
      <c r="R42" s="93"/>
    </row>
    <row r="43" spans="1:18" s="68" customFormat="1" x14ac:dyDescent="0.2">
      <c r="A43" s="79">
        <v>2700</v>
      </c>
      <c r="B43" s="120">
        <v>60</v>
      </c>
      <c r="C43" s="81">
        <f t="shared" si="0"/>
        <v>276</v>
      </c>
      <c r="D43" s="82">
        <f t="shared" si="1"/>
        <v>34.5</v>
      </c>
      <c r="E43" s="121">
        <v>9</v>
      </c>
      <c r="F43" s="84">
        <f t="shared" si="2"/>
        <v>43.5</v>
      </c>
      <c r="G43" s="85">
        <f t="shared" si="3"/>
        <v>4.833333333333333</v>
      </c>
      <c r="H43" s="119">
        <f t="shared" si="4"/>
        <v>5</v>
      </c>
      <c r="I43" s="87">
        <f t="shared" si="5"/>
        <v>4.5</v>
      </c>
      <c r="J43" s="88">
        <f t="shared" si="6"/>
        <v>1298.6942068965516</v>
      </c>
      <c r="K43" s="89">
        <f t="shared" si="7"/>
        <v>450</v>
      </c>
      <c r="L43" s="89">
        <f t="shared" si="8"/>
        <v>900</v>
      </c>
      <c r="M43" s="90">
        <f t="shared" si="9"/>
        <v>2648.6942068965518</v>
      </c>
      <c r="N43" s="88">
        <f t="shared" si="12"/>
        <v>661.43417895702407</v>
      </c>
      <c r="O43" s="91">
        <f t="shared" si="10"/>
        <v>3310.1283858535758</v>
      </c>
      <c r="P43" s="66">
        <v>26</v>
      </c>
      <c r="Q43" s="92">
        <f t="shared" si="11"/>
        <v>662.0256771707152</v>
      </c>
      <c r="R43" s="93"/>
    </row>
    <row r="44" spans="1:18" s="68" customFormat="1" x14ac:dyDescent="0.2">
      <c r="A44" s="79">
        <v>2800</v>
      </c>
      <c r="B44" s="120">
        <v>60</v>
      </c>
      <c r="C44" s="81">
        <f t="shared" si="0"/>
        <v>286</v>
      </c>
      <c r="D44" s="82">
        <f t="shared" si="1"/>
        <v>35.75</v>
      </c>
      <c r="E44" s="121">
        <v>9</v>
      </c>
      <c r="F44" s="84">
        <f t="shared" si="2"/>
        <v>44.75</v>
      </c>
      <c r="G44" s="85">
        <f t="shared" si="3"/>
        <v>4.9722222222222223</v>
      </c>
      <c r="H44" s="119">
        <f t="shared" si="4"/>
        <v>5</v>
      </c>
      <c r="I44" s="87">
        <f t="shared" si="5"/>
        <v>4.5</v>
      </c>
      <c r="J44" s="88">
        <f t="shared" si="6"/>
        <v>1345.7483448275862</v>
      </c>
      <c r="K44" s="89">
        <f t="shared" si="7"/>
        <v>450</v>
      </c>
      <c r="L44" s="89">
        <f t="shared" si="8"/>
        <v>900</v>
      </c>
      <c r="M44" s="90">
        <f t="shared" si="9"/>
        <v>2695.7483448275862</v>
      </c>
      <c r="N44" s="88">
        <f t="shared" si="12"/>
        <v>673.18457845875105</v>
      </c>
      <c r="O44" s="91">
        <f t="shared" si="10"/>
        <v>3368.9329232863374</v>
      </c>
      <c r="P44" s="66">
        <v>27</v>
      </c>
      <c r="Q44" s="92">
        <f t="shared" si="11"/>
        <v>673.78658465726744</v>
      </c>
      <c r="R44" s="93"/>
    </row>
    <row r="45" spans="1:18" s="108" customFormat="1" x14ac:dyDescent="0.2">
      <c r="D45" s="109"/>
      <c r="E45" s="110"/>
      <c r="F45" s="111"/>
      <c r="G45" s="112"/>
      <c r="H45" s="112"/>
      <c r="I45" s="112"/>
      <c r="J45" s="112"/>
      <c r="N45" s="68"/>
      <c r="O45" s="113"/>
      <c r="P45" s="114"/>
      <c r="Q45" s="115">
        <f>SUM(Q18:Q44)</f>
        <v>15123.340732340415</v>
      </c>
    </row>
    <row r="46" spans="1:18" x14ac:dyDescent="0.2">
      <c r="O46" s="116"/>
      <c r="Q46" s="115">
        <f>Q45/27</f>
        <v>560.12373082742283</v>
      </c>
    </row>
    <row r="51" spans="4:17" x14ac:dyDescent="0.2">
      <c r="D51" s="38"/>
      <c r="E51" s="38"/>
      <c r="F51" s="38"/>
      <c r="G51" s="38"/>
      <c r="H51" s="38"/>
      <c r="I51" s="38"/>
      <c r="J51" s="38"/>
      <c r="N51" s="38"/>
      <c r="O51" s="38"/>
      <c r="P51" s="38"/>
      <c r="Q51" s="38"/>
    </row>
    <row r="52" spans="4:17" x14ac:dyDescent="0.2">
      <c r="D52" s="38"/>
      <c r="E52" s="38"/>
      <c r="F52" s="38"/>
      <c r="G52" s="38"/>
      <c r="H52" s="38"/>
      <c r="I52" s="38"/>
      <c r="J52" s="38"/>
      <c r="N52" s="38"/>
      <c r="O52" s="38"/>
      <c r="P52" s="38"/>
      <c r="Q52" s="38"/>
    </row>
    <row r="53" spans="4:17" x14ac:dyDescent="0.2">
      <c r="D53" s="38"/>
      <c r="E53" s="38"/>
      <c r="F53" s="38"/>
      <c r="G53" s="38"/>
      <c r="H53" s="38"/>
      <c r="I53" s="38"/>
      <c r="J53" s="38"/>
      <c r="N53" s="38"/>
      <c r="O53" s="38"/>
      <c r="P53" s="38"/>
      <c r="Q53" s="38"/>
    </row>
    <row r="54" spans="4:17" x14ac:dyDescent="0.2">
      <c r="D54" s="38"/>
      <c r="E54" s="38"/>
      <c r="F54" s="38"/>
      <c r="G54" s="38"/>
      <c r="H54" s="38"/>
      <c r="I54" s="38"/>
      <c r="J54" s="38"/>
      <c r="N54" s="38"/>
      <c r="O54" s="38"/>
      <c r="P54" s="38"/>
      <c r="Q54" s="38"/>
    </row>
    <row r="55" spans="4:17" x14ac:dyDescent="0.2">
      <c r="D55" s="38"/>
      <c r="E55" s="38"/>
      <c r="F55" s="38"/>
      <c r="G55" s="38"/>
      <c r="H55" s="38"/>
      <c r="I55" s="38"/>
      <c r="J55" s="38"/>
      <c r="N55" s="38"/>
      <c r="O55" s="38"/>
      <c r="P55" s="38"/>
      <c r="Q55" s="38"/>
    </row>
    <row r="56" spans="4:17" x14ac:dyDescent="0.2">
      <c r="D56" s="38"/>
      <c r="E56" s="38"/>
      <c r="F56" s="38"/>
      <c r="G56" s="38"/>
      <c r="H56" s="38"/>
      <c r="I56" s="38"/>
      <c r="J56" s="38"/>
      <c r="N56" s="38"/>
      <c r="O56" s="38"/>
      <c r="P56" s="38"/>
      <c r="Q56" s="38"/>
    </row>
    <row r="58" spans="4:17" x14ac:dyDescent="0.2">
      <c r="D58" s="38"/>
      <c r="E58" s="38"/>
      <c r="F58" s="38"/>
      <c r="G58" s="38"/>
      <c r="H58" s="38"/>
      <c r="I58" s="38"/>
      <c r="J58" s="38"/>
      <c r="N58" s="38"/>
      <c r="O58" s="38"/>
      <c r="P58" s="38"/>
      <c r="Q58" s="38"/>
    </row>
  </sheetData>
  <mergeCells count="11">
    <mergeCell ref="A6:E6"/>
    <mergeCell ref="A11:E11"/>
    <mergeCell ref="A1:O1"/>
    <mergeCell ref="A2:O2"/>
    <mergeCell ref="A4:F4"/>
    <mergeCell ref="A5:F5"/>
    <mergeCell ref="A12:E12"/>
    <mergeCell ref="A10:E10"/>
    <mergeCell ref="A9:E9"/>
    <mergeCell ref="A8:E8"/>
    <mergeCell ref="A7:E7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6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view="pageBreakPreview" zoomScale="90" zoomScaleNormal="140" zoomScaleSheetLayoutView="90" workbookViewId="0">
      <selection activeCell="N18" sqref="N18"/>
    </sheetView>
  </sheetViews>
  <sheetFormatPr defaultColWidth="8.6640625" defaultRowHeight="11.25" x14ac:dyDescent="0.2"/>
  <cols>
    <col min="1" max="1" width="18.33203125" style="38" customWidth="1"/>
    <col min="2" max="2" width="9.6640625" style="38" bestFit="1" customWidth="1"/>
    <col min="3" max="3" width="9.5" style="38" bestFit="1" customWidth="1"/>
    <col min="4" max="4" width="9.5" style="53" bestFit="1" customWidth="1"/>
    <col min="5" max="5" width="9.6640625" style="54" bestFit="1" customWidth="1"/>
    <col min="6" max="6" width="10" style="55" bestFit="1" customWidth="1"/>
    <col min="7" max="7" width="10.1640625" style="48" bestFit="1" customWidth="1"/>
    <col min="8" max="8" width="9.5" style="48" bestFit="1" customWidth="1"/>
    <col min="9" max="9" width="9.83203125" style="48" bestFit="1" customWidth="1"/>
    <col min="10" max="10" width="12.5" style="48" bestFit="1" customWidth="1"/>
    <col min="11" max="11" width="10.5" style="38" bestFit="1" customWidth="1"/>
    <col min="12" max="12" width="10.83203125" style="38" bestFit="1" customWidth="1"/>
    <col min="13" max="13" width="12.33203125" style="38" bestFit="1" customWidth="1"/>
    <col min="14" max="14" width="10.83203125" style="40" bestFit="1" customWidth="1"/>
    <col min="15" max="15" width="14.1640625" style="39" bestFit="1" customWidth="1"/>
    <col min="16" max="16" width="6.1640625" style="41" bestFit="1" customWidth="1"/>
    <col min="17" max="17" width="16.83203125" style="42" bestFit="1" customWidth="1"/>
    <col min="18" max="16384" width="8.6640625" style="38"/>
  </cols>
  <sheetData>
    <row r="1" spans="1:17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36"/>
      <c r="Q1" s="37"/>
    </row>
    <row r="2" spans="1:17" x14ac:dyDescent="0.2">
      <c r="A2" s="165" t="s">
        <v>74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36"/>
      <c r="Q2" s="37"/>
    </row>
    <row r="3" spans="1:17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7" s="44" customFormat="1" x14ac:dyDescent="0.2">
      <c r="A4" s="122" t="s">
        <v>71</v>
      </c>
      <c r="B4" s="123"/>
      <c r="C4" s="123"/>
      <c r="D4" s="123"/>
      <c r="E4" s="123"/>
      <c r="F4" s="123"/>
      <c r="G4" s="43"/>
      <c r="H4" s="43"/>
      <c r="I4" s="43"/>
      <c r="J4" s="43"/>
      <c r="N4" s="40"/>
      <c r="O4" s="40"/>
      <c r="P4" s="45"/>
      <c r="Q4" s="46"/>
    </row>
    <row r="5" spans="1:17" x14ac:dyDescent="0.2">
      <c r="A5" s="50" t="s">
        <v>63</v>
      </c>
      <c r="B5" s="124"/>
      <c r="C5" s="124"/>
      <c r="D5" s="124"/>
      <c r="E5" s="125"/>
      <c r="F5" s="47">
        <v>80</v>
      </c>
    </row>
    <row r="6" spans="1:17" x14ac:dyDescent="0.2">
      <c r="A6" s="50" t="s">
        <v>62</v>
      </c>
      <c r="B6" s="124"/>
      <c r="C6" s="124"/>
      <c r="D6" s="124"/>
      <c r="E6" s="125"/>
      <c r="F6" s="47">
        <v>3</v>
      </c>
    </row>
    <row r="7" spans="1:17" x14ac:dyDescent="0.2">
      <c r="A7" s="50" t="s">
        <v>61</v>
      </c>
      <c r="B7" s="124"/>
      <c r="C7" s="124"/>
      <c r="D7" s="124"/>
      <c r="E7" s="125"/>
      <c r="F7" s="47">
        <v>90</v>
      </c>
    </row>
    <row r="8" spans="1:17" x14ac:dyDescent="0.2">
      <c r="A8" s="50" t="s">
        <v>60</v>
      </c>
      <c r="B8" s="124"/>
      <c r="C8" s="124"/>
      <c r="D8" s="124"/>
      <c r="E8" s="125"/>
      <c r="F8" s="49" t="s">
        <v>59</v>
      </c>
    </row>
    <row r="9" spans="1:17" x14ac:dyDescent="0.2">
      <c r="A9" s="50" t="s">
        <v>58</v>
      </c>
      <c r="B9" s="124"/>
      <c r="C9" s="124"/>
      <c r="D9" s="124"/>
      <c r="E9" s="125"/>
      <c r="F9" s="51">
        <f>'Valor médio gasolina comum'!C35</f>
        <v>4.7054137931034479</v>
      </c>
    </row>
    <row r="10" spans="1:17" x14ac:dyDescent="0.2">
      <c r="A10" s="50" t="s">
        <v>57</v>
      </c>
      <c r="B10" s="124"/>
      <c r="C10" s="124"/>
      <c r="D10" s="124"/>
      <c r="E10" s="125"/>
      <c r="F10" s="47">
        <v>10</v>
      </c>
    </row>
    <row r="11" spans="1:17" x14ac:dyDescent="0.2">
      <c r="A11" s="50" t="s">
        <v>56</v>
      </c>
      <c r="B11" s="124"/>
      <c r="C11" s="124"/>
      <c r="D11" s="124"/>
      <c r="E11" s="125"/>
      <c r="F11" s="52">
        <v>200</v>
      </c>
    </row>
    <row r="12" spans="1:17" s="44" customFormat="1" x14ac:dyDescent="0.2">
      <c r="G12" s="43"/>
      <c r="H12" s="43"/>
      <c r="I12" s="43"/>
      <c r="J12" s="43"/>
      <c r="N12" s="40"/>
      <c r="O12" s="40"/>
      <c r="P12" s="45"/>
      <c r="Q12" s="46"/>
    </row>
    <row r="14" spans="1:17" x14ac:dyDescent="0.2">
      <c r="A14" s="57"/>
      <c r="B14" s="57"/>
      <c r="C14" s="57"/>
    </row>
    <row r="15" spans="1:17" ht="12" thickBot="1" x14ac:dyDescent="0.25">
      <c r="A15" s="57"/>
      <c r="B15" s="57"/>
      <c r="C15" s="57"/>
    </row>
    <row r="16" spans="1:17" s="68" customFormat="1" ht="112.5" x14ac:dyDescent="0.2">
      <c r="A16" s="58" t="s">
        <v>55</v>
      </c>
      <c r="B16" s="117" t="s">
        <v>68</v>
      </c>
      <c r="C16" s="59" t="s">
        <v>53</v>
      </c>
      <c r="D16" s="60" t="s">
        <v>123</v>
      </c>
      <c r="E16" s="118" t="s">
        <v>73</v>
      </c>
      <c r="F16" s="62" t="s">
        <v>51</v>
      </c>
      <c r="G16" s="63" t="s">
        <v>50</v>
      </c>
      <c r="H16" s="63" t="s">
        <v>49</v>
      </c>
      <c r="I16" s="63" t="s">
        <v>48</v>
      </c>
      <c r="J16" s="59" t="s">
        <v>47</v>
      </c>
      <c r="K16" s="59" t="s">
        <v>46</v>
      </c>
      <c r="L16" s="59" t="s">
        <v>124</v>
      </c>
      <c r="M16" s="59" t="s">
        <v>45</v>
      </c>
      <c r="N16" s="64" t="s">
        <v>122</v>
      </c>
      <c r="O16" s="65" t="s">
        <v>44</v>
      </c>
      <c r="P16" s="66"/>
      <c r="Q16" s="67" t="s">
        <v>43</v>
      </c>
    </row>
    <row r="17" spans="1:18" s="78" customFormat="1" x14ac:dyDescent="0.2">
      <c r="A17" s="69" t="s">
        <v>42</v>
      </c>
      <c r="B17" s="70" t="s">
        <v>42</v>
      </c>
      <c r="C17" s="70" t="s">
        <v>41</v>
      </c>
      <c r="D17" s="71" t="s">
        <v>40</v>
      </c>
      <c r="E17" s="72" t="s">
        <v>40</v>
      </c>
      <c r="F17" s="73" t="s">
        <v>40</v>
      </c>
      <c r="G17" s="71" t="s">
        <v>39</v>
      </c>
      <c r="H17" s="71" t="s">
        <v>38</v>
      </c>
      <c r="I17" s="70" t="s">
        <v>38</v>
      </c>
      <c r="J17" s="70" t="s">
        <v>37</v>
      </c>
      <c r="K17" s="70" t="s">
        <v>37</v>
      </c>
      <c r="L17" s="70" t="s">
        <v>37</v>
      </c>
      <c r="M17" s="70" t="s">
        <v>37</v>
      </c>
      <c r="N17" s="74">
        <f>Postos!C128</f>
        <v>0.24972085385878495</v>
      </c>
      <c r="O17" s="75" t="s">
        <v>37</v>
      </c>
      <c r="P17" s="76"/>
      <c r="Q17" s="77"/>
    </row>
    <row r="18" spans="1:18" s="68" customFormat="1" x14ac:dyDescent="0.2">
      <c r="A18" s="79">
        <v>300</v>
      </c>
      <c r="B18" s="120">
        <v>80</v>
      </c>
      <c r="C18" s="81">
        <f t="shared" ref="C18:C40" si="0">((A18+B18)/10)</f>
        <v>38</v>
      </c>
      <c r="D18" s="82">
        <f t="shared" ref="D18:D40" si="1">((A18+B18)/80)</f>
        <v>4.75</v>
      </c>
      <c r="E18" s="121">
        <v>12</v>
      </c>
      <c r="F18" s="84">
        <f t="shared" ref="F18:F40" si="2">D18+E18</f>
        <v>16.75</v>
      </c>
      <c r="G18" s="85">
        <f t="shared" ref="G18:G40" si="3">F18/9</f>
        <v>1.8611111111111112</v>
      </c>
      <c r="H18" s="119">
        <f t="shared" ref="H18:H40" si="4">ROUNDUP(G18,0)</f>
        <v>2</v>
      </c>
      <c r="I18" s="87">
        <f t="shared" ref="I18:I40" si="5">H18-0.5</f>
        <v>1.5</v>
      </c>
      <c r="J18" s="88">
        <f t="shared" ref="J18:J40" si="6">C18*$F$9</f>
        <v>178.80572413793101</v>
      </c>
      <c r="K18" s="90">
        <f t="shared" ref="K18:K40" si="7">H18*$F$7</f>
        <v>180</v>
      </c>
      <c r="L18" s="89">
        <f t="shared" ref="L18:L40" si="8">(I18*$F$11)*1</f>
        <v>300</v>
      </c>
      <c r="M18" s="90">
        <f t="shared" ref="M18:M40" si="9">J18+K18+L18</f>
        <v>658.80572413793107</v>
      </c>
      <c r="N18" s="88">
        <f>M18*$N$17</f>
        <v>164.51752795877928</v>
      </c>
      <c r="O18" s="91">
        <f t="shared" ref="O18:O40" si="10">M18+N18</f>
        <v>823.32325209671035</v>
      </c>
      <c r="P18" s="66">
        <v>1</v>
      </c>
      <c r="Q18" s="92">
        <f t="shared" ref="Q18:Q40" si="11">O18/H18</f>
        <v>411.66162604835517</v>
      </c>
      <c r="R18" s="94"/>
    </row>
    <row r="19" spans="1:18" s="68" customFormat="1" x14ac:dyDescent="0.2">
      <c r="A19" s="79">
        <v>400</v>
      </c>
      <c r="B19" s="120">
        <v>80</v>
      </c>
      <c r="C19" s="81">
        <f t="shared" si="0"/>
        <v>48</v>
      </c>
      <c r="D19" s="82">
        <f t="shared" si="1"/>
        <v>6</v>
      </c>
      <c r="E19" s="121">
        <v>12</v>
      </c>
      <c r="F19" s="84">
        <f t="shared" si="2"/>
        <v>18</v>
      </c>
      <c r="G19" s="85">
        <f t="shared" si="3"/>
        <v>2</v>
      </c>
      <c r="H19" s="119">
        <f t="shared" si="4"/>
        <v>2</v>
      </c>
      <c r="I19" s="87">
        <f t="shared" si="5"/>
        <v>1.5</v>
      </c>
      <c r="J19" s="88">
        <f t="shared" si="6"/>
        <v>225.8598620689655</v>
      </c>
      <c r="K19" s="90">
        <f t="shared" si="7"/>
        <v>180</v>
      </c>
      <c r="L19" s="89">
        <f t="shared" si="8"/>
        <v>300</v>
      </c>
      <c r="M19" s="90">
        <f t="shared" si="9"/>
        <v>705.85986206896553</v>
      </c>
      <c r="N19" s="88">
        <f t="shared" ref="N19:N40" si="12">M19*$N$17</f>
        <v>176.26792746050626</v>
      </c>
      <c r="O19" s="91">
        <f t="shared" si="10"/>
        <v>882.12778952947178</v>
      </c>
      <c r="P19" s="66">
        <v>2</v>
      </c>
      <c r="Q19" s="92">
        <f t="shared" si="11"/>
        <v>441.06389476473589</v>
      </c>
      <c r="R19" s="93"/>
    </row>
    <row r="20" spans="1:18" s="68" customFormat="1" x14ac:dyDescent="0.2">
      <c r="A20" s="79">
        <v>500</v>
      </c>
      <c r="B20" s="120">
        <v>80</v>
      </c>
      <c r="C20" s="81">
        <f t="shared" si="0"/>
        <v>58</v>
      </c>
      <c r="D20" s="82">
        <f t="shared" si="1"/>
        <v>7.25</v>
      </c>
      <c r="E20" s="121">
        <v>12</v>
      </c>
      <c r="F20" s="84">
        <f t="shared" si="2"/>
        <v>19.25</v>
      </c>
      <c r="G20" s="85">
        <f t="shared" si="3"/>
        <v>2.1388888888888888</v>
      </c>
      <c r="H20" s="119">
        <f t="shared" si="4"/>
        <v>3</v>
      </c>
      <c r="I20" s="87">
        <f t="shared" si="5"/>
        <v>2.5</v>
      </c>
      <c r="J20" s="88">
        <f t="shared" si="6"/>
        <v>272.91399999999999</v>
      </c>
      <c r="K20" s="90">
        <f t="shared" si="7"/>
        <v>270</v>
      </c>
      <c r="L20" s="89">
        <f t="shared" si="8"/>
        <v>500</v>
      </c>
      <c r="M20" s="90">
        <f t="shared" si="9"/>
        <v>1042.914</v>
      </c>
      <c r="N20" s="88">
        <f t="shared" si="12"/>
        <v>260.43737458128084</v>
      </c>
      <c r="O20" s="91">
        <f t="shared" si="10"/>
        <v>1303.3513745812809</v>
      </c>
      <c r="P20" s="66">
        <v>3</v>
      </c>
      <c r="Q20" s="92">
        <f t="shared" si="11"/>
        <v>434.45045819376031</v>
      </c>
      <c r="R20" s="93"/>
    </row>
    <row r="21" spans="1:18" s="68" customFormat="1" x14ac:dyDescent="0.2">
      <c r="A21" s="79">
        <v>600</v>
      </c>
      <c r="B21" s="120">
        <v>80</v>
      </c>
      <c r="C21" s="81">
        <f t="shared" si="0"/>
        <v>68</v>
      </c>
      <c r="D21" s="82">
        <f t="shared" si="1"/>
        <v>8.5</v>
      </c>
      <c r="E21" s="121">
        <v>12</v>
      </c>
      <c r="F21" s="84">
        <f t="shared" si="2"/>
        <v>20.5</v>
      </c>
      <c r="G21" s="85">
        <f t="shared" si="3"/>
        <v>2.2777777777777777</v>
      </c>
      <c r="H21" s="119">
        <f t="shared" si="4"/>
        <v>3</v>
      </c>
      <c r="I21" s="87">
        <f t="shared" si="5"/>
        <v>2.5</v>
      </c>
      <c r="J21" s="88">
        <f t="shared" si="6"/>
        <v>319.96813793103445</v>
      </c>
      <c r="K21" s="90">
        <f t="shared" si="7"/>
        <v>270</v>
      </c>
      <c r="L21" s="89">
        <f t="shared" si="8"/>
        <v>500</v>
      </c>
      <c r="M21" s="90">
        <f t="shared" si="9"/>
        <v>1089.9681379310346</v>
      </c>
      <c r="N21" s="88">
        <f t="shared" si="12"/>
        <v>272.18777408300787</v>
      </c>
      <c r="O21" s="91">
        <f t="shared" si="10"/>
        <v>1362.1559120140423</v>
      </c>
      <c r="P21" s="66">
        <v>4</v>
      </c>
      <c r="Q21" s="92">
        <f t="shared" si="11"/>
        <v>454.05197067134742</v>
      </c>
      <c r="R21" s="93"/>
    </row>
    <row r="22" spans="1:18" s="68" customFormat="1" x14ac:dyDescent="0.2">
      <c r="A22" s="79">
        <v>700</v>
      </c>
      <c r="B22" s="120">
        <v>80</v>
      </c>
      <c r="C22" s="81">
        <f t="shared" si="0"/>
        <v>78</v>
      </c>
      <c r="D22" s="82">
        <f t="shared" si="1"/>
        <v>9.75</v>
      </c>
      <c r="E22" s="121">
        <v>12</v>
      </c>
      <c r="F22" s="84">
        <f t="shared" si="2"/>
        <v>21.75</v>
      </c>
      <c r="G22" s="85">
        <f t="shared" si="3"/>
        <v>2.4166666666666665</v>
      </c>
      <c r="H22" s="119">
        <f t="shared" si="4"/>
        <v>3</v>
      </c>
      <c r="I22" s="87">
        <f t="shared" si="5"/>
        <v>2.5</v>
      </c>
      <c r="J22" s="88">
        <f t="shared" si="6"/>
        <v>367.02227586206891</v>
      </c>
      <c r="K22" s="90">
        <f t="shared" si="7"/>
        <v>270</v>
      </c>
      <c r="L22" s="89">
        <f t="shared" si="8"/>
        <v>500</v>
      </c>
      <c r="M22" s="90">
        <f t="shared" si="9"/>
        <v>1137.0222758620689</v>
      </c>
      <c r="N22" s="88">
        <f t="shared" si="12"/>
        <v>283.93817358473478</v>
      </c>
      <c r="O22" s="91">
        <f t="shared" si="10"/>
        <v>1420.9604494468038</v>
      </c>
      <c r="P22" s="66">
        <v>5</v>
      </c>
      <c r="Q22" s="92">
        <f t="shared" si="11"/>
        <v>473.65348314893458</v>
      </c>
      <c r="R22" s="93"/>
    </row>
    <row r="23" spans="1:18" s="68" customFormat="1" x14ac:dyDescent="0.2">
      <c r="A23" s="79">
        <v>800</v>
      </c>
      <c r="B23" s="120">
        <v>80</v>
      </c>
      <c r="C23" s="81">
        <f t="shared" si="0"/>
        <v>88</v>
      </c>
      <c r="D23" s="82">
        <f t="shared" si="1"/>
        <v>11</v>
      </c>
      <c r="E23" s="121">
        <v>12</v>
      </c>
      <c r="F23" s="84">
        <f t="shared" si="2"/>
        <v>23</v>
      </c>
      <c r="G23" s="85">
        <f t="shared" si="3"/>
        <v>2.5555555555555554</v>
      </c>
      <c r="H23" s="119">
        <f t="shared" si="4"/>
        <v>3</v>
      </c>
      <c r="I23" s="87">
        <f t="shared" si="5"/>
        <v>2.5</v>
      </c>
      <c r="J23" s="88">
        <f t="shared" si="6"/>
        <v>414.07641379310343</v>
      </c>
      <c r="K23" s="90">
        <f t="shared" si="7"/>
        <v>270</v>
      </c>
      <c r="L23" s="89">
        <f t="shared" si="8"/>
        <v>500</v>
      </c>
      <c r="M23" s="90">
        <f t="shared" si="9"/>
        <v>1184.0764137931035</v>
      </c>
      <c r="N23" s="88">
        <f t="shared" si="12"/>
        <v>295.68857308646176</v>
      </c>
      <c r="O23" s="91">
        <f t="shared" si="10"/>
        <v>1479.7649868795652</v>
      </c>
      <c r="P23" s="66">
        <v>6</v>
      </c>
      <c r="Q23" s="92">
        <f t="shared" si="11"/>
        <v>493.25499562652175</v>
      </c>
      <c r="R23" s="93"/>
    </row>
    <row r="24" spans="1:18" s="68" customFormat="1" x14ac:dyDescent="0.2">
      <c r="A24" s="79">
        <v>900</v>
      </c>
      <c r="B24" s="120">
        <v>80</v>
      </c>
      <c r="C24" s="81">
        <f t="shared" si="0"/>
        <v>98</v>
      </c>
      <c r="D24" s="82">
        <f t="shared" si="1"/>
        <v>12.25</v>
      </c>
      <c r="E24" s="121">
        <v>12</v>
      </c>
      <c r="F24" s="84">
        <f t="shared" si="2"/>
        <v>24.25</v>
      </c>
      <c r="G24" s="85">
        <f t="shared" si="3"/>
        <v>2.6944444444444446</v>
      </c>
      <c r="H24" s="119">
        <f t="shared" si="4"/>
        <v>3</v>
      </c>
      <c r="I24" s="87">
        <f t="shared" si="5"/>
        <v>2.5</v>
      </c>
      <c r="J24" s="88">
        <f t="shared" si="6"/>
        <v>461.13055172413789</v>
      </c>
      <c r="K24" s="90">
        <f t="shared" si="7"/>
        <v>270</v>
      </c>
      <c r="L24" s="89">
        <f t="shared" si="8"/>
        <v>500</v>
      </c>
      <c r="M24" s="90">
        <f t="shared" si="9"/>
        <v>1231.1305517241378</v>
      </c>
      <c r="N24" s="88">
        <f t="shared" si="12"/>
        <v>307.43897258818873</v>
      </c>
      <c r="O24" s="91">
        <f t="shared" si="10"/>
        <v>1538.5695243123266</v>
      </c>
      <c r="P24" s="66">
        <v>7</v>
      </c>
      <c r="Q24" s="92">
        <f t="shared" si="11"/>
        <v>512.85650810410891</v>
      </c>
      <c r="R24" s="93"/>
    </row>
    <row r="25" spans="1:18" s="68" customFormat="1" x14ac:dyDescent="0.2">
      <c r="A25" s="79">
        <v>1000</v>
      </c>
      <c r="B25" s="120">
        <v>80</v>
      </c>
      <c r="C25" s="81">
        <f t="shared" si="0"/>
        <v>108</v>
      </c>
      <c r="D25" s="82">
        <f t="shared" si="1"/>
        <v>13.5</v>
      </c>
      <c r="E25" s="121">
        <v>12</v>
      </c>
      <c r="F25" s="84">
        <f t="shared" si="2"/>
        <v>25.5</v>
      </c>
      <c r="G25" s="85">
        <f t="shared" si="3"/>
        <v>2.8333333333333335</v>
      </c>
      <c r="H25" s="119">
        <f t="shared" si="4"/>
        <v>3</v>
      </c>
      <c r="I25" s="87">
        <f t="shared" si="5"/>
        <v>2.5</v>
      </c>
      <c r="J25" s="88">
        <f t="shared" si="6"/>
        <v>508.18468965517235</v>
      </c>
      <c r="K25" s="90">
        <f t="shared" si="7"/>
        <v>270</v>
      </c>
      <c r="L25" s="89">
        <f t="shared" si="8"/>
        <v>500</v>
      </c>
      <c r="M25" s="90">
        <f t="shared" si="9"/>
        <v>1278.1846896551724</v>
      </c>
      <c r="N25" s="88">
        <f t="shared" si="12"/>
        <v>319.18937208991571</v>
      </c>
      <c r="O25" s="91">
        <f t="shared" si="10"/>
        <v>1597.3740617450881</v>
      </c>
      <c r="P25" s="66">
        <v>8</v>
      </c>
      <c r="Q25" s="92">
        <f t="shared" si="11"/>
        <v>532.45802058169602</v>
      </c>
      <c r="R25" s="93"/>
    </row>
    <row r="26" spans="1:18" s="68" customFormat="1" x14ac:dyDescent="0.2">
      <c r="A26" s="79">
        <v>1100</v>
      </c>
      <c r="B26" s="120">
        <v>80</v>
      </c>
      <c r="C26" s="81">
        <f t="shared" si="0"/>
        <v>118</v>
      </c>
      <c r="D26" s="82">
        <f t="shared" si="1"/>
        <v>14.75</v>
      </c>
      <c r="E26" s="121">
        <v>12</v>
      </c>
      <c r="F26" s="84">
        <f t="shared" si="2"/>
        <v>26.75</v>
      </c>
      <c r="G26" s="85">
        <f t="shared" si="3"/>
        <v>2.9722222222222223</v>
      </c>
      <c r="H26" s="119">
        <f t="shared" si="4"/>
        <v>3</v>
      </c>
      <c r="I26" s="87">
        <f t="shared" si="5"/>
        <v>2.5</v>
      </c>
      <c r="J26" s="88">
        <f t="shared" si="6"/>
        <v>555.23882758620687</v>
      </c>
      <c r="K26" s="90">
        <f t="shared" si="7"/>
        <v>270</v>
      </c>
      <c r="L26" s="89">
        <f t="shared" si="8"/>
        <v>500</v>
      </c>
      <c r="M26" s="90">
        <f t="shared" si="9"/>
        <v>1325.2388275862068</v>
      </c>
      <c r="N26" s="88">
        <f t="shared" si="12"/>
        <v>330.93977159164263</v>
      </c>
      <c r="O26" s="91">
        <f t="shared" si="10"/>
        <v>1656.1785991778493</v>
      </c>
      <c r="P26" s="66">
        <v>9</v>
      </c>
      <c r="Q26" s="92">
        <f t="shared" si="11"/>
        <v>552.05953305928313</v>
      </c>
      <c r="R26" s="93"/>
    </row>
    <row r="27" spans="1:18" s="68" customFormat="1" x14ac:dyDescent="0.2">
      <c r="A27" s="79">
        <v>1200</v>
      </c>
      <c r="B27" s="120">
        <v>80</v>
      </c>
      <c r="C27" s="81">
        <f t="shared" si="0"/>
        <v>128</v>
      </c>
      <c r="D27" s="82">
        <f t="shared" si="1"/>
        <v>16</v>
      </c>
      <c r="E27" s="121">
        <v>12</v>
      </c>
      <c r="F27" s="84">
        <f t="shared" si="2"/>
        <v>28</v>
      </c>
      <c r="G27" s="85">
        <f t="shared" si="3"/>
        <v>3.1111111111111112</v>
      </c>
      <c r="H27" s="119">
        <f t="shared" si="4"/>
        <v>4</v>
      </c>
      <c r="I27" s="87">
        <f t="shared" si="5"/>
        <v>3.5</v>
      </c>
      <c r="J27" s="88">
        <f t="shared" si="6"/>
        <v>602.29296551724133</v>
      </c>
      <c r="K27" s="90">
        <f t="shared" si="7"/>
        <v>360</v>
      </c>
      <c r="L27" s="89">
        <f t="shared" si="8"/>
        <v>700</v>
      </c>
      <c r="M27" s="90">
        <f t="shared" si="9"/>
        <v>1662.2929655172413</v>
      </c>
      <c r="N27" s="88">
        <f t="shared" si="12"/>
        <v>415.10921871241726</v>
      </c>
      <c r="O27" s="91">
        <f t="shared" si="10"/>
        <v>2077.4021842296588</v>
      </c>
      <c r="P27" s="66">
        <v>10</v>
      </c>
      <c r="Q27" s="92">
        <f t="shared" si="11"/>
        <v>519.3505460574147</v>
      </c>
      <c r="R27" s="93"/>
    </row>
    <row r="28" spans="1:18" s="68" customFormat="1" x14ac:dyDescent="0.2">
      <c r="A28" s="79">
        <v>1300</v>
      </c>
      <c r="B28" s="120">
        <v>80</v>
      </c>
      <c r="C28" s="81">
        <f t="shared" si="0"/>
        <v>138</v>
      </c>
      <c r="D28" s="82">
        <f t="shared" si="1"/>
        <v>17.25</v>
      </c>
      <c r="E28" s="121">
        <v>12</v>
      </c>
      <c r="F28" s="84">
        <f t="shared" si="2"/>
        <v>29.25</v>
      </c>
      <c r="G28" s="85">
        <f t="shared" si="3"/>
        <v>3.25</v>
      </c>
      <c r="H28" s="119">
        <f t="shared" si="4"/>
        <v>4</v>
      </c>
      <c r="I28" s="87">
        <f t="shared" si="5"/>
        <v>3.5</v>
      </c>
      <c r="J28" s="88">
        <f t="shared" si="6"/>
        <v>649.34710344827579</v>
      </c>
      <c r="K28" s="90">
        <f t="shared" si="7"/>
        <v>360</v>
      </c>
      <c r="L28" s="89">
        <f t="shared" si="8"/>
        <v>700</v>
      </c>
      <c r="M28" s="90">
        <f t="shared" si="9"/>
        <v>1709.3471034482759</v>
      </c>
      <c r="N28" s="88">
        <f t="shared" si="12"/>
        <v>426.85961821414429</v>
      </c>
      <c r="O28" s="91">
        <f t="shared" si="10"/>
        <v>2136.20672166242</v>
      </c>
      <c r="P28" s="66">
        <v>11</v>
      </c>
      <c r="Q28" s="92">
        <f t="shared" si="11"/>
        <v>534.05168041560501</v>
      </c>
      <c r="R28" s="93"/>
    </row>
    <row r="29" spans="1:18" s="68" customFormat="1" x14ac:dyDescent="0.2">
      <c r="A29" s="79">
        <v>1400</v>
      </c>
      <c r="B29" s="120">
        <v>80</v>
      </c>
      <c r="C29" s="81">
        <f t="shared" si="0"/>
        <v>148</v>
      </c>
      <c r="D29" s="82">
        <f t="shared" si="1"/>
        <v>18.5</v>
      </c>
      <c r="E29" s="121">
        <v>12</v>
      </c>
      <c r="F29" s="84">
        <f t="shared" si="2"/>
        <v>30.5</v>
      </c>
      <c r="G29" s="85">
        <f t="shared" si="3"/>
        <v>3.3888888888888888</v>
      </c>
      <c r="H29" s="119">
        <f t="shared" si="4"/>
        <v>4</v>
      </c>
      <c r="I29" s="87">
        <f t="shared" si="5"/>
        <v>3.5</v>
      </c>
      <c r="J29" s="88">
        <f t="shared" si="6"/>
        <v>696.40124137931025</v>
      </c>
      <c r="K29" s="90">
        <f t="shared" si="7"/>
        <v>360</v>
      </c>
      <c r="L29" s="89">
        <f t="shared" si="8"/>
        <v>700</v>
      </c>
      <c r="M29" s="90">
        <f t="shared" si="9"/>
        <v>1756.4012413793102</v>
      </c>
      <c r="N29" s="88">
        <f t="shared" si="12"/>
        <v>438.61001771587121</v>
      </c>
      <c r="O29" s="91">
        <f t="shared" si="10"/>
        <v>2195.0112590951812</v>
      </c>
      <c r="P29" s="66">
        <v>12</v>
      </c>
      <c r="Q29" s="92">
        <f t="shared" si="11"/>
        <v>548.75281477379531</v>
      </c>
      <c r="R29" s="93"/>
    </row>
    <row r="30" spans="1:18" s="68" customFormat="1" x14ac:dyDescent="0.2">
      <c r="A30" s="79">
        <v>1500</v>
      </c>
      <c r="B30" s="120">
        <v>80</v>
      </c>
      <c r="C30" s="81">
        <f t="shared" si="0"/>
        <v>158</v>
      </c>
      <c r="D30" s="82">
        <f t="shared" si="1"/>
        <v>19.75</v>
      </c>
      <c r="E30" s="121">
        <v>12</v>
      </c>
      <c r="F30" s="84">
        <f t="shared" si="2"/>
        <v>31.75</v>
      </c>
      <c r="G30" s="85">
        <f t="shared" si="3"/>
        <v>3.5277777777777777</v>
      </c>
      <c r="H30" s="119">
        <f t="shared" si="4"/>
        <v>4</v>
      </c>
      <c r="I30" s="87">
        <f t="shared" si="5"/>
        <v>3.5</v>
      </c>
      <c r="J30" s="88">
        <f t="shared" si="6"/>
        <v>743.45537931034471</v>
      </c>
      <c r="K30" s="90">
        <f t="shared" si="7"/>
        <v>360</v>
      </c>
      <c r="L30" s="89">
        <f t="shared" si="8"/>
        <v>700</v>
      </c>
      <c r="M30" s="90">
        <f t="shared" si="9"/>
        <v>1803.4553793103446</v>
      </c>
      <c r="N30" s="88">
        <f t="shared" si="12"/>
        <v>450.36041721759813</v>
      </c>
      <c r="O30" s="91">
        <f t="shared" si="10"/>
        <v>2253.8157965279429</v>
      </c>
      <c r="P30" s="66">
        <v>13</v>
      </c>
      <c r="Q30" s="92">
        <f t="shared" si="11"/>
        <v>563.45394913198572</v>
      </c>
      <c r="R30" s="93"/>
    </row>
    <row r="31" spans="1:18" s="68" customFormat="1" x14ac:dyDescent="0.2">
      <c r="A31" s="79">
        <v>1600</v>
      </c>
      <c r="B31" s="120">
        <v>80</v>
      </c>
      <c r="C31" s="81">
        <f t="shared" si="0"/>
        <v>168</v>
      </c>
      <c r="D31" s="82">
        <f t="shared" si="1"/>
        <v>21</v>
      </c>
      <c r="E31" s="121">
        <v>12</v>
      </c>
      <c r="F31" s="84">
        <f t="shared" si="2"/>
        <v>33</v>
      </c>
      <c r="G31" s="85">
        <f t="shared" si="3"/>
        <v>3.6666666666666665</v>
      </c>
      <c r="H31" s="119">
        <f t="shared" si="4"/>
        <v>4</v>
      </c>
      <c r="I31" s="87">
        <f t="shared" si="5"/>
        <v>3.5</v>
      </c>
      <c r="J31" s="88">
        <f t="shared" si="6"/>
        <v>790.50951724137929</v>
      </c>
      <c r="K31" s="90">
        <f t="shared" si="7"/>
        <v>360</v>
      </c>
      <c r="L31" s="89">
        <f t="shared" si="8"/>
        <v>700</v>
      </c>
      <c r="M31" s="90">
        <f t="shared" si="9"/>
        <v>1850.5095172413794</v>
      </c>
      <c r="N31" s="88">
        <f t="shared" si="12"/>
        <v>462.11081671932521</v>
      </c>
      <c r="O31" s="91">
        <f t="shared" si="10"/>
        <v>2312.6203339607046</v>
      </c>
      <c r="P31" s="66">
        <v>14</v>
      </c>
      <c r="Q31" s="92">
        <f t="shared" si="11"/>
        <v>578.15508349017614</v>
      </c>
      <c r="R31" s="93"/>
    </row>
    <row r="32" spans="1:18" s="68" customFormat="1" x14ac:dyDescent="0.2">
      <c r="A32" s="79">
        <v>1700</v>
      </c>
      <c r="B32" s="120">
        <v>80</v>
      </c>
      <c r="C32" s="81">
        <f t="shared" si="0"/>
        <v>178</v>
      </c>
      <c r="D32" s="82">
        <f t="shared" si="1"/>
        <v>22.25</v>
      </c>
      <c r="E32" s="121">
        <v>12</v>
      </c>
      <c r="F32" s="84">
        <f t="shared" si="2"/>
        <v>34.25</v>
      </c>
      <c r="G32" s="85">
        <f t="shared" si="3"/>
        <v>3.8055555555555554</v>
      </c>
      <c r="H32" s="119">
        <f t="shared" si="4"/>
        <v>4</v>
      </c>
      <c r="I32" s="87">
        <f t="shared" si="5"/>
        <v>3.5</v>
      </c>
      <c r="J32" s="88">
        <f t="shared" si="6"/>
        <v>837.56365517241375</v>
      </c>
      <c r="K32" s="90">
        <f t="shared" si="7"/>
        <v>360</v>
      </c>
      <c r="L32" s="89">
        <f t="shared" si="8"/>
        <v>700</v>
      </c>
      <c r="M32" s="90">
        <f t="shared" si="9"/>
        <v>1897.5636551724137</v>
      </c>
      <c r="N32" s="88">
        <f t="shared" si="12"/>
        <v>473.86121622105213</v>
      </c>
      <c r="O32" s="91">
        <f t="shared" si="10"/>
        <v>2371.4248713934658</v>
      </c>
      <c r="P32" s="66">
        <v>15</v>
      </c>
      <c r="Q32" s="92">
        <f t="shared" si="11"/>
        <v>592.85621784836644</v>
      </c>
      <c r="R32" s="93"/>
    </row>
    <row r="33" spans="1:18" s="68" customFormat="1" x14ac:dyDescent="0.2">
      <c r="A33" s="79">
        <v>1800</v>
      </c>
      <c r="B33" s="120">
        <v>80</v>
      </c>
      <c r="C33" s="81">
        <f t="shared" si="0"/>
        <v>188</v>
      </c>
      <c r="D33" s="82">
        <f t="shared" si="1"/>
        <v>23.5</v>
      </c>
      <c r="E33" s="121">
        <v>12</v>
      </c>
      <c r="F33" s="84">
        <f t="shared" si="2"/>
        <v>35.5</v>
      </c>
      <c r="G33" s="85">
        <f t="shared" si="3"/>
        <v>3.9444444444444446</v>
      </c>
      <c r="H33" s="119">
        <f t="shared" si="4"/>
        <v>4</v>
      </c>
      <c r="I33" s="87">
        <f t="shared" si="5"/>
        <v>3.5</v>
      </c>
      <c r="J33" s="88">
        <f t="shared" si="6"/>
        <v>884.61779310344821</v>
      </c>
      <c r="K33" s="90">
        <f t="shared" si="7"/>
        <v>360</v>
      </c>
      <c r="L33" s="89">
        <f t="shared" si="8"/>
        <v>700</v>
      </c>
      <c r="M33" s="90">
        <f t="shared" si="9"/>
        <v>1944.6177931034481</v>
      </c>
      <c r="N33" s="88">
        <f t="shared" si="12"/>
        <v>485.61161572277905</v>
      </c>
      <c r="O33" s="91">
        <f t="shared" si="10"/>
        <v>2430.229408826227</v>
      </c>
      <c r="P33" s="66">
        <v>16</v>
      </c>
      <c r="Q33" s="92">
        <f t="shared" si="11"/>
        <v>607.55735220655674</v>
      </c>
      <c r="R33" s="93"/>
    </row>
    <row r="34" spans="1:18" s="68" customFormat="1" x14ac:dyDescent="0.2">
      <c r="A34" s="79">
        <v>1900</v>
      </c>
      <c r="B34" s="120">
        <v>80</v>
      </c>
      <c r="C34" s="81">
        <f t="shared" si="0"/>
        <v>198</v>
      </c>
      <c r="D34" s="82">
        <f t="shared" si="1"/>
        <v>24.75</v>
      </c>
      <c r="E34" s="121">
        <v>12</v>
      </c>
      <c r="F34" s="84">
        <f t="shared" si="2"/>
        <v>36.75</v>
      </c>
      <c r="G34" s="85">
        <f t="shared" si="3"/>
        <v>4.083333333333333</v>
      </c>
      <c r="H34" s="119">
        <f t="shared" si="4"/>
        <v>5</v>
      </c>
      <c r="I34" s="87">
        <f t="shared" si="5"/>
        <v>4.5</v>
      </c>
      <c r="J34" s="88">
        <f t="shared" si="6"/>
        <v>931.67193103448267</v>
      </c>
      <c r="K34" s="90">
        <f t="shared" si="7"/>
        <v>450</v>
      </c>
      <c r="L34" s="89">
        <f t="shared" si="8"/>
        <v>900</v>
      </c>
      <c r="M34" s="90">
        <f t="shared" si="9"/>
        <v>2281.6719310344824</v>
      </c>
      <c r="N34" s="88">
        <f t="shared" si="12"/>
        <v>569.78106284355363</v>
      </c>
      <c r="O34" s="91">
        <f t="shared" si="10"/>
        <v>2851.4529938780361</v>
      </c>
      <c r="P34" s="66">
        <v>17</v>
      </c>
      <c r="Q34" s="92">
        <f t="shared" si="11"/>
        <v>570.29059877560724</v>
      </c>
      <c r="R34" s="93"/>
    </row>
    <row r="35" spans="1:18" s="68" customFormat="1" x14ac:dyDescent="0.2">
      <c r="A35" s="79">
        <v>2000</v>
      </c>
      <c r="B35" s="120">
        <v>80</v>
      </c>
      <c r="C35" s="81">
        <f t="shared" si="0"/>
        <v>208</v>
      </c>
      <c r="D35" s="82">
        <f t="shared" si="1"/>
        <v>26</v>
      </c>
      <c r="E35" s="121">
        <v>12</v>
      </c>
      <c r="F35" s="84">
        <f t="shared" si="2"/>
        <v>38</v>
      </c>
      <c r="G35" s="85">
        <f t="shared" si="3"/>
        <v>4.2222222222222223</v>
      </c>
      <c r="H35" s="119">
        <f t="shared" si="4"/>
        <v>5</v>
      </c>
      <c r="I35" s="87">
        <f t="shared" si="5"/>
        <v>4.5</v>
      </c>
      <c r="J35" s="88">
        <f t="shared" si="6"/>
        <v>978.72606896551713</v>
      </c>
      <c r="K35" s="90">
        <f t="shared" si="7"/>
        <v>450</v>
      </c>
      <c r="L35" s="89">
        <f t="shared" si="8"/>
        <v>900</v>
      </c>
      <c r="M35" s="90">
        <f t="shared" si="9"/>
        <v>2328.7260689655172</v>
      </c>
      <c r="N35" s="88">
        <f t="shared" si="12"/>
        <v>581.53146234528072</v>
      </c>
      <c r="O35" s="91">
        <f t="shared" si="10"/>
        <v>2910.2575313107982</v>
      </c>
      <c r="P35" s="66">
        <v>18</v>
      </c>
      <c r="Q35" s="92">
        <f t="shared" si="11"/>
        <v>582.05150626215959</v>
      </c>
      <c r="R35" s="93"/>
    </row>
    <row r="36" spans="1:18" s="68" customFormat="1" x14ac:dyDescent="0.2">
      <c r="A36" s="79">
        <v>2100</v>
      </c>
      <c r="B36" s="120">
        <v>80</v>
      </c>
      <c r="C36" s="81">
        <f t="shared" si="0"/>
        <v>218</v>
      </c>
      <c r="D36" s="82">
        <f t="shared" si="1"/>
        <v>27.25</v>
      </c>
      <c r="E36" s="121">
        <v>12</v>
      </c>
      <c r="F36" s="84">
        <f t="shared" si="2"/>
        <v>39.25</v>
      </c>
      <c r="G36" s="85">
        <f t="shared" si="3"/>
        <v>4.3611111111111107</v>
      </c>
      <c r="H36" s="119">
        <f t="shared" si="4"/>
        <v>5</v>
      </c>
      <c r="I36" s="87">
        <f t="shared" si="5"/>
        <v>4.5</v>
      </c>
      <c r="J36" s="88">
        <f t="shared" si="6"/>
        <v>1025.7802068965516</v>
      </c>
      <c r="K36" s="90">
        <f t="shared" si="7"/>
        <v>450</v>
      </c>
      <c r="L36" s="89">
        <f t="shared" si="8"/>
        <v>900</v>
      </c>
      <c r="M36" s="90">
        <f t="shared" si="9"/>
        <v>2375.7802068965516</v>
      </c>
      <c r="N36" s="88">
        <f t="shared" si="12"/>
        <v>593.28186184700769</v>
      </c>
      <c r="O36" s="91">
        <f t="shared" si="10"/>
        <v>2969.0620687435594</v>
      </c>
      <c r="P36" s="66">
        <v>19</v>
      </c>
      <c r="Q36" s="92">
        <f t="shared" si="11"/>
        <v>593.81241374871183</v>
      </c>
      <c r="R36" s="93"/>
    </row>
    <row r="37" spans="1:18" s="68" customFormat="1" x14ac:dyDescent="0.2">
      <c r="A37" s="79">
        <v>2200</v>
      </c>
      <c r="B37" s="120">
        <v>80</v>
      </c>
      <c r="C37" s="81">
        <f t="shared" si="0"/>
        <v>228</v>
      </c>
      <c r="D37" s="82">
        <f t="shared" si="1"/>
        <v>28.5</v>
      </c>
      <c r="E37" s="121">
        <v>12</v>
      </c>
      <c r="F37" s="84">
        <f t="shared" si="2"/>
        <v>40.5</v>
      </c>
      <c r="G37" s="85">
        <f t="shared" si="3"/>
        <v>4.5</v>
      </c>
      <c r="H37" s="119">
        <f t="shared" si="4"/>
        <v>5</v>
      </c>
      <c r="I37" s="87">
        <f t="shared" si="5"/>
        <v>4.5</v>
      </c>
      <c r="J37" s="88">
        <f t="shared" si="6"/>
        <v>1072.8343448275862</v>
      </c>
      <c r="K37" s="90">
        <f t="shared" si="7"/>
        <v>450</v>
      </c>
      <c r="L37" s="89">
        <f t="shared" si="8"/>
        <v>900</v>
      </c>
      <c r="M37" s="90">
        <f t="shared" si="9"/>
        <v>2422.8343448275864</v>
      </c>
      <c r="N37" s="88">
        <f t="shared" si="12"/>
        <v>605.03226134873466</v>
      </c>
      <c r="O37" s="91">
        <f t="shared" si="10"/>
        <v>3027.8666061763211</v>
      </c>
      <c r="P37" s="66">
        <v>20</v>
      </c>
      <c r="Q37" s="92">
        <f t="shared" si="11"/>
        <v>605.57332123526419</v>
      </c>
      <c r="R37" s="93"/>
    </row>
    <row r="38" spans="1:18" s="68" customFormat="1" x14ac:dyDescent="0.2">
      <c r="A38" s="79">
        <v>2300</v>
      </c>
      <c r="B38" s="120">
        <v>80</v>
      </c>
      <c r="C38" s="81">
        <f t="shared" si="0"/>
        <v>238</v>
      </c>
      <c r="D38" s="82">
        <f t="shared" si="1"/>
        <v>29.75</v>
      </c>
      <c r="E38" s="121">
        <v>12</v>
      </c>
      <c r="F38" s="84">
        <f t="shared" si="2"/>
        <v>41.75</v>
      </c>
      <c r="G38" s="85">
        <f t="shared" si="3"/>
        <v>4.6388888888888893</v>
      </c>
      <c r="H38" s="119">
        <f t="shared" si="4"/>
        <v>5</v>
      </c>
      <c r="I38" s="87">
        <f t="shared" si="5"/>
        <v>4.5</v>
      </c>
      <c r="J38" s="88">
        <f t="shared" si="6"/>
        <v>1119.8884827586205</v>
      </c>
      <c r="K38" s="90">
        <f t="shared" si="7"/>
        <v>450</v>
      </c>
      <c r="L38" s="89">
        <f t="shared" si="8"/>
        <v>900</v>
      </c>
      <c r="M38" s="90">
        <f t="shared" si="9"/>
        <v>2469.8884827586207</v>
      </c>
      <c r="N38" s="88">
        <f t="shared" si="12"/>
        <v>616.78266085046164</v>
      </c>
      <c r="O38" s="91">
        <f t="shared" si="10"/>
        <v>3086.6711436090823</v>
      </c>
      <c r="P38" s="66">
        <v>21</v>
      </c>
      <c r="Q38" s="92">
        <f t="shared" si="11"/>
        <v>617.33422872181643</v>
      </c>
      <c r="R38" s="93"/>
    </row>
    <row r="39" spans="1:18" s="68" customFormat="1" x14ac:dyDescent="0.2">
      <c r="A39" s="79">
        <v>2400</v>
      </c>
      <c r="B39" s="120">
        <v>80</v>
      </c>
      <c r="C39" s="81">
        <f t="shared" si="0"/>
        <v>248</v>
      </c>
      <c r="D39" s="82">
        <f t="shared" si="1"/>
        <v>31</v>
      </c>
      <c r="E39" s="121">
        <v>12</v>
      </c>
      <c r="F39" s="84">
        <f t="shared" si="2"/>
        <v>43</v>
      </c>
      <c r="G39" s="85">
        <f t="shared" si="3"/>
        <v>4.7777777777777777</v>
      </c>
      <c r="H39" s="119">
        <f t="shared" si="4"/>
        <v>5</v>
      </c>
      <c r="I39" s="87">
        <f t="shared" si="5"/>
        <v>4.5</v>
      </c>
      <c r="J39" s="88">
        <f t="shared" si="6"/>
        <v>1166.9426206896551</v>
      </c>
      <c r="K39" s="90">
        <f t="shared" si="7"/>
        <v>450</v>
      </c>
      <c r="L39" s="89">
        <f t="shared" si="8"/>
        <v>900</v>
      </c>
      <c r="M39" s="90">
        <f t="shared" si="9"/>
        <v>2516.9426206896551</v>
      </c>
      <c r="N39" s="88">
        <f t="shared" si="12"/>
        <v>628.53306035218861</v>
      </c>
      <c r="O39" s="91">
        <f t="shared" si="10"/>
        <v>3145.4756810418439</v>
      </c>
      <c r="P39" s="66">
        <v>22</v>
      </c>
      <c r="Q39" s="92">
        <f t="shared" si="11"/>
        <v>629.09513620836879</v>
      </c>
      <c r="R39" s="93"/>
    </row>
    <row r="40" spans="1:18" s="68" customFormat="1" x14ac:dyDescent="0.2">
      <c r="A40" s="79">
        <v>2500</v>
      </c>
      <c r="B40" s="120">
        <v>80</v>
      </c>
      <c r="C40" s="81">
        <f t="shared" si="0"/>
        <v>258</v>
      </c>
      <c r="D40" s="82">
        <f t="shared" si="1"/>
        <v>32.25</v>
      </c>
      <c r="E40" s="121">
        <v>12</v>
      </c>
      <c r="F40" s="84">
        <f t="shared" si="2"/>
        <v>44.25</v>
      </c>
      <c r="G40" s="85">
        <f t="shared" si="3"/>
        <v>4.916666666666667</v>
      </c>
      <c r="H40" s="119">
        <f t="shared" si="4"/>
        <v>5</v>
      </c>
      <c r="I40" s="87">
        <f t="shared" si="5"/>
        <v>4.5</v>
      </c>
      <c r="J40" s="88">
        <f t="shared" si="6"/>
        <v>1213.9967586206897</v>
      </c>
      <c r="K40" s="90">
        <f t="shared" si="7"/>
        <v>450</v>
      </c>
      <c r="L40" s="89">
        <f t="shared" si="8"/>
        <v>900</v>
      </c>
      <c r="M40" s="90">
        <f t="shared" si="9"/>
        <v>2563.9967586206894</v>
      </c>
      <c r="N40" s="88">
        <f t="shared" si="12"/>
        <v>640.28345985391547</v>
      </c>
      <c r="O40" s="91">
        <f t="shared" si="10"/>
        <v>3204.2802184746051</v>
      </c>
      <c r="P40" s="66">
        <v>23</v>
      </c>
      <c r="Q40" s="92">
        <f t="shared" si="11"/>
        <v>640.85604369492103</v>
      </c>
      <c r="R40" s="93"/>
    </row>
    <row r="41" spans="1:18" s="108" customFormat="1" x14ac:dyDescent="0.2">
      <c r="D41" s="109"/>
      <c r="E41" s="110"/>
      <c r="F41" s="111"/>
      <c r="G41" s="112"/>
      <c r="H41" s="112"/>
      <c r="I41" s="112"/>
      <c r="J41" s="112"/>
      <c r="N41" s="68"/>
      <c r="O41" s="113"/>
      <c r="P41" s="114"/>
      <c r="Q41" s="115">
        <f>SUM(Q18:Q40)</f>
        <v>12488.701382769494</v>
      </c>
    </row>
    <row r="42" spans="1:18" x14ac:dyDescent="0.2">
      <c r="O42" s="116"/>
      <c r="Q42" s="115">
        <f>Q41/23</f>
        <v>542.98701664215184</v>
      </c>
    </row>
    <row r="47" spans="1:18" x14ac:dyDescent="0.2">
      <c r="D47" s="38"/>
      <c r="E47" s="38"/>
      <c r="F47" s="38"/>
      <c r="G47" s="38"/>
      <c r="H47" s="38"/>
      <c r="I47" s="38"/>
      <c r="J47" s="38"/>
      <c r="N47" s="38"/>
      <c r="O47" s="38"/>
      <c r="P47" s="38"/>
      <c r="Q47" s="38"/>
    </row>
    <row r="48" spans="1:18" x14ac:dyDescent="0.2">
      <c r="D48" s="38"/>
      <c r="E48" s="38"/>
      <c r="F48" s="38"/>
      <c r="G48" s="38"/>
      <c r="H48" s="38"/>
      <c r="I48" s="38"/>
      <c r="J48" s="38"/>
      <c r="N48" s="38"/>
      <c r="O48" s="38"/>
      <c r="P48" s="38"/>
      <c r="Q48" s="38"/>
    </row>
    <row r="49" spans="4:17" x14ac:dyDescent="0.2">
      <c r="D49" s="38"/>
      <c r="E49" s="38"/>
      <c r="F49" s="38"/>
      <c r="G49" s="38"/>
      <c r="H49" s="38"/>
      <c r="I49" s="38"/>
      <c r="J49" s="38"/>
      <c r="N49" s="38"/>
      <c r="O49" s="38"/>
      <c r="P49" s="38"/>
      <c r="Q49" s="38"/>
    </row>
    <row r="50" spans="4:17" x14ac:dyDescent="0.2">
      <c r="D50" s="38"/>
      <c r="E50" s="38"/>
      <c r="F50" s="38"/>
      <c r="G50" s="38"/>
      <c r="H50" s="38"/>
      <c r="I50" s="38"/>
      <c r="J50" s="38"/>
      <c r="N50" s="38"/>
      <c r="O50" s="38"/>
      <c r="P50" s="38"/>
      <c r="Q50" s="38"/>
    </row>
    <row r="51" spans="4:17" x14ac:dyDescent="0.2">
      <c r="D51" s="38"/>
      <c r="E51" s="38"/>
      <c r="F51" s="38"/>
      <c r="G51" s="38"/>
      <c r="H51" s="38"/>
      <c r="I51" s="38"/>
      <c r="J51" s="38"/>
      <c r="N51" s="38"/>
      <c r="O51" s="38"/>
      <c r="P51" s="38"/>
      <c r="Q51" s="38"/>
    </row>
    <row r="52" spans="4:17" x14ac:dyDescent="0.2">
      <c r="D52" s="38"/>
      <c r="E52" s="38"/>
      <c r="F52" s="38"/>
      <c r="G52" s="38"/>
      <c r="H52" s="38"/>
      <c r="I52" s="38"/>
      <c r="J52" s="38"/>
      <c r="N52" s="38"/>
      <c r="O52" s="38"/>
      <c r="P52" s="38"/>
      <c r="Q52" s="38"/>
    </row>
    <row r="54" spans="4:17" x14ac:dyDescent="0.2">
      <c r="D54" s="38"/>
      <c r="E54" s="38"/>
      <c r="F54" s="38"/>
      <c r="G54" s="38"/>
      <c r="H54" s="38"/>
      <c r="I54" s="38"/>
      <c r="J54" s="38"/>
      <c r="N54" s="38"/>
      <c r="O54" s="38"/>
      <c r="P54" s="38"/>
      <c r="Q54" s="38"/>
    </row>
  </sheetData>
  <mergeCells count="2">
    <mergeCell ref="A1:O1"/>
    <mergeCell ref="A2:O2"/>
  </mergeCells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3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view="pageBreakPreview" topLeftCell="A7" zoomScaleNormal="120" zoomScaleSheetLayoutView="100" workbookViewId="0">
      <selection activeCell="N18" sqref="N18"/>
    </sheetView>
  </sheetViews>
  <sheetFormatPr defaultColWidth="9.33203125" defaultRowHeight="11.25" x14ac:dyDescent="0.2"/>
  <cols>
    <col min="1" max="1" width="18.33203125" style="38" customWidth="1"/>
    <col min="2" max="3" width="9.5" style="38" bestFit="1" customWidth="1"/>
    <col min="4" max="4" width="9.33203125" style="53" bestFit="1" customWidth="1"/>
    <col min="5" max="5" width="9.5" style="54" bestFit="1" customWidth="1"/>
    <col min="6" max="6" width="9.5" style="55" bestFit="1" customWidth="1"/>
    <col min="7" max="7" width="9.33203125" style="48" bestFit="1" customWidth="1"/>
    <col min="8" max="8" width="8.5" style="48" bestFit="1" customWidth="1"/>
    <col min="9" max="9" width="8.6640625" style="48" bestFit="1" customWidth="1"/>
    <col min="10" max="10" width="10.83203125" style="48" bestFit="1" customWidth="1"/>
    <col min="11" max="12" width="9.33203125" style="38" bestFit="1" customWidth="1"/>
    <col min="13" max="13" width="10.83203125" style="38" bestFit="1" customWidth="1"/>
    <col min="14" max="14" width="9.33203125" style="40" bestFit="1" customWidth="1"/>
    <col min="15" max="15" width="10.83203125" style="39" customWidth="1"/>
    <col min="16" max="16" width="3.83203125" style="41" bestFit="1" customWidth="1"/>
    <col min="17" max="17" width="10.6640625" style="42" bestFit="1" customWidth="1"/>
    <col min="18" max="16384" width="9.33203125" style="38"/>
  </cols>
  <sheetData>
    <row r="1" spans="1:17" x14ac:dyDescent="0.2">
      <c r="A1" s="164" t="s">
        <v>66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36"/>
      <c r="Q1" s="37"/>
    </row>
    <row r="2" spans="1:17" x14ac:dyDescent="0.2">
      <c r="A2" s="165" t="s">
        <v>76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  <c r="O2" s="165"/>
      <c r="P2" s="36"/>
      <c r="Q2" s="37"/>
    </row>
    <row r="3" spans="1:17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7" s="44" customFormat="1" x14ac:dyDescent="0.2">
      <c r="A4" s="169"/>
      <c r="B4" s="169"/>
      <c r="C4" s="169"/>
      <c r="D4" s="169"/>
      <c r="E4" s="169"/>
      <c r="F4" s="169"/>
      <c r="G4" s="43"/>
      <c r="H4" s="43"/>
      <c r="I4" s="43"/>
      <c r="J4" s="43"/>
      <c r="N4" s="40"/>
      <c r="O4" s="40"/>
      <c r="P4" s="45"/>
      <c r="Q4" s="46"/>
    </row>
    <row r="5" spans="1:17" x14ac:dyDescent="0.2">
      <c r="A5" s="169" t="s">
        <v>64</v>
      </c>
      <c r="B5" s="169"/>
      <c r="C5" s="169"/>
      <c r="D5" s="169"/>
      <c r="E5" s="169"/>
      <c r="F5" s="169"/>
    </row>
    <row r="6" spans="1:17" x14ac:dyDescent="0.2">
      <c r="A6" s="166" t="s">
        <v>63</v>
      </c>
      <c r="B6" s="167"/>
      <c r="C6" s="167"/>
      <c r="D6" s="167"/>
      <c r="E6" s="168"/>
      <c r="F6" s="47">
        <v>80</v>
      </c>
    </row>
    <row r="7" spans="1:17" x14ac:dyDescent="0.2">
      <c r="A7" s="166" t="s">
        <v>62</v>
      </c>
      <c r="B7" s="167"/>
      <c r="C7" s="167"/>
      <c r="D7" s="167"/>
      <c r="E7" s="168"/>
      <c r="F7" s="47">
        <v>3</v>
      </c>
    </row>
    <row r="8" spans="1:17" x14ac:dyDescent="0.2">
      <c r="A8" s="166" t="s">
        <v>61</v>
      </c>
      <c r="B8" s="167"/>
      <c r="C8" s="167"/>
      <c r="D8" s="167"/>
      <c r="E8" s="168"/>
      <c r="F8" s="47">
        <v>90</v>
      </c>
    </row>
    <row r="9" spans="1:17" x14ac:dyDescent="0.2">
      <c r="A9" s="166" t="s">
        <v>60</v>
      </c>
      <c r="B9" s="167"/>
      <c r="C9" s="167"/>
      <c r="D9" s="167"/>
      <c r="E9" s="168"/>
      <c r="F9" s="49" t="s">
        <v>59</v>
      </c>
    </row>
    <row r="10" spans="1:17" x14ac:dyDescent="0.2">
      <c r="A10" s="166" t="s">
        <v>58</v>
      </c>
      <c r="B10" s="167"/>
      <c r="C10" s="167"/>
      <c r="D10" s="167"/>
      <c r="E10" s="168"/>
      <c r="F10" s="51">
        <f>'Valor médio gasolina comum'!C35</f>
        <v>4.7054137931034479</v>
      </c>
    </row>
    <row r="11" spans="1:17" x14ac:dyDescent="0.2">
      <c r="A11" s="166" t="s">
        <v>57</v>
      </c>
      <c r="B11" s="167"/>
      <c r="C11" s="167"/>
      <c r="D11" s="167"/>
      <c r="E11" s="168"/>
      <c r="F11" s="47">
        <v>10</v>
      </c>
    </row>
    <row r="12" spans="1:17" s="44" customFormat="1" x14ac:dyDescent="0.2">
      <c r="A12" s="166" t="s">
        <v>56</v>
      </c>
      <c r="B12" s="167"/>
      <c r="C12" s="167"/>
      <c r="D12" s="167"/>
      <c r="E12" s="168"/>
      <c r="F12" s="52">
        <v>200</v>
      </c>
      <c r="G12" s="43"/>
      <c r="H12" s="43"/>
      <c r="I12" s="43"/>
      <c r="J12" s="43"/>
      <c r="N12" s="40"/>
      <c r="O12" s="40"/>
      <c r="P12" s="45"/>
      <c r="Q12" s="46"/>
    </row>
    <row r="14" spans="1:17" x14ac:dyDescent="0.2">
      <c r="A14" s="57"/>
      <c r="B14" s="57"/>
      <c r="C14" s="57"/>
    </row>
    <row r="15" spans="1:17" ht="12" thickBot="1" x14ac:dyDescent="0.25">
      <c r="A15" s="57"/>
      <c r="B15" s="57"/>
      <c r="C15" s="57"/>
    </row>
    <row r="16" spans="1:17" s="68" customFormat="1" ht="112.5" x14ac:dyDescent="0.2">
      <c r="A16" s="58" t="s">
        <v>55</v>
      </c>
      <c r="B16" s="117" t="s">
        <v>68</v>
      </c>
      <c r="C16" s="59" t="s">
        <v>53</v>
      </c>
      <c r="D16" s="60" t="s">
        <v>123</v>
      </c>
      <c r="E16" s="118" t="s">
        <v>75</v>
      </c>
      <c r="F16" s="62" t="s">
        <v>51</v>
      </c>
      <c r="G16" s="63" t="s">
        <v>50</v>
      </c>
      <c r="H16" s="63" t="s">
        <v>49</v>
      </c>
      <c r="I16" s="63" t="s">
        <v>48</v>
      </c>
      <c r="J16" s="59" t="s">
        <v>47</v>
      </c>
      <c r="K16" s="59" t="s">
        <v>46</v>
      </c>
      <c r="L16" s="59" t="s">
        <v>124</v>
      </c>
      <c r="M16" s="59" t="s">
        <v>45</v>
      </c>
      <c r="N16" s="64" t="s">
        <v>122</v>
      </c>
      <c r="O16" s="65" t="s">
        <v>44</v>
      </c>
      <c r="P16" s="66"/>
      <c r="Q16" s="67" t="s">
        <v>43</v>
      </c>
    </row>
    <row r="17" spans="1:18" s="78" customFormat="1" x14ac:dyDescent="0.2">
      <c r="A17" s="69" t="s">
        <v>42</v>
      </c>
      <c r="B17" s="70" t="s">
        <v>42</v>
      </c>
      <c r="C17" s="70" t="s">
        <v>41</v>
      </c>
      <c r="D17" s="71" t="s">
        <v>40</v>
      </c>
      <c r="E17" s="72" t="s">
        <v>40</v>
      </c>
      <c r="F17" s="73" t="s">
        <v>40</v>
      </c>
      <c r="G17" s="71" t="s">
        <v>39</v>
      </c>
      <c r="H17" s="71" t="s">
        <v>38</v>
      </c>
      <c r="I17" s="70" t="s">
        <v>38</v>
      </c>
      <c r="J17" s="70" t="s">
        <v>37</v>
      </c>
      <c r="K17" s="70" t="s">
        <v>37</v>
      </c>
      <c r="L17" s="70" t="s">
        <v>37</v>
      </c>
      <c r="M17" s="70" t="s">
        <v>37</v>
      </c>
      <c r="N17" s="74">
        <f>Postos!C128</f>
        <v>0.24972085385878495</v>
      </c>
      <c r="O17" s="75" t="s">
        <v>37</v>
      </c>
      <c r="P17" s="76"/>
      <c r="Q17" s="77"/>
    </row>
    <row r="18" spans="1:18" s="68" customFormat="1" x14ac:dyDescent="0.2">
      <c r="A18" s="79">
        <v>400</v>
      </c>
      <c r="B18" s="120">
        <v>100</v>
      </c>
      <c r="C18" s="81">
        <f t="shared" ref="C18:C37" si="0">((A18+B18)/10)</f>
        <v>50</v>
      </c>
      <c r="D18" s="82">
        <f t="shared" ref="D18:D37" si="1">((A18+B18)/80)</f>
        <v>6.25</v>
      </c>
      <c r="E18" s="121">
        <v>15</v>
      </c>
      <c r="F18" s="84">
        <f t="shared" ref="F18:F37" si="2">D18+E18</f>
        <v>21.25</v>
      </c>
      <c r="G18" s="85">
        <f t="shared" ref="G18:G37" si="3">F18/9</f>
        <v>2.3611111111111112</v>
      </c>
      <c r="H18" s="119">
        <f t="shared" ref="H18:H37" si="4">ROUNDUP(G18,0)</f>
        <v>3</v>
      </c>
      <c r="I18" s="87">
        <f t="shared" ref="I18:I37" si="5">H18-0.5</f>
        <v>2.5</v>
      </c>
      <c r="J18" s="88">
        <f t="shared" ref="J18:J37" si="6">C18*$F$10</f>
        <v>235.27068965517239</v>
      </c>
      <c r="K18" s="90">
        <f t="shared" ref="K18:K37" si="7">H18*$F$8</f>
        <v>270</v>
      </c>
      <c r="L18" s="89">
        <f t="shared" ref="L18:L37" si="8">(I18*$F$12)*1</f>
        <v>500</v>
      </c>
      <c r="M18" s="90">
        <f t="shared" ref="M18:M37" si="9">J18+K18+L18</f>
        <v>1005.2706896551724</v>
      </c>
      <c r="N18" s="88">
        <f>M18*$N$17</f>
        <v>251.03705497989927</v>
      </c>
      <c r="O18" s="91">
        <f t="shared" ref="O18:O37" si="10">M18+N18</f>
        <v>1256.3077446350717</v>
      </c>
      <c r="P18" s="66">
        <v>1</v>
      </c>
      <c r="Q18" s="126">
        <f t="shared" ref="Q18:Q37" si="11">O18/H18</f>
        <v>418.76924821169058</v>
      </c>
      <c r="R18" s="93"/>
    </row>
    <row r="19" spans="1:18" s="68" customFormat="1" x14ac:dyDescent="0.2">
      <c r="A19" s="79">
        <v>500</v>
      </c>
      <c r="B19" s="120">
        <v>100</v>
      </c>
      <c r="C19" s="81">
        <f t="shared" si="0"/>
        <v>60</v>
      </c>
      <c r="D19" s="82">
        <f t="shared" si="1"/>
        <v>7.5</v>
      </c>
      <c r="E19" s="121">
        <v>15</v>
      </c>
      <c r="F19" s="84">
        <f t="shared" si="2"/>
        <v>22.5</v>
      </c>
      <c r="G19" s="85">
        <f t="shared" si="3"/>
        <v>2.5</v>
      </c>
      <c r="H19" s="119">
        <f t="shared" si="4"/>
        <v>3</v>
      </c>
      <c r="I19" s="87">
        <f t="shared" si="5"/>
        <v>2.5</v>
      </c>
      <c r="J19" s="88">
        <f t="shared" si="6"/>
        <v>282.32482758620688</v>
      </c>
      <c r="K19" s="90">
        <f t="shared" si="7"/>
        <v>270</v>
      </c>
      <c r="L19" s="89">
        <f t="shared" si="8"/>
        <v>500</v>
      </c>
      <c r="M19" s="90">
        <f t="shared" si="9"/>
        <v>1052.324827586207</v>
      </c>
      <c r="N19" s="88">
        <f t="shared" ref="N19:N37" si="12">M19*$N$17</f>
        <v>262.78745448162624</v>
      </c>
      <c r="O19" s="91">
        <f t="shared" si="10"/>
        <v>1315.1122820678333</v>
      </c>
      <c r="P19" s="66">
        <v>2</v>
      </c>
      <c r="Q19" s="126">
        <f t="shared" si="11"/>
        <v>438.3707606892778</v>
      </c>
      <c r="R19" s="93"/>
    </row>
    <row r="20" spans="1:18" s="68" customFormat="1" x14ac:dyDescent="0.2">
      <c r="A20" s="79">
        <v>600</v>
      </c>
      <c r="B20" s="120">
        <v>100</v>
      </c>
      <c r="C20" s="81">
        <f t="shared" si="0"/>
        <v>70</v>
      </c>
      <c r="D20" s="82">
        <f t="shared" si="1"/>
        <v>8.75</v>
      </c>
      <c r="E20" s="121">
        <v>15</v>
      </c>
      <c r="F20" s="84">
        <f t="shared" si="2"/>
        <v>23.75</v>
      </c>
      <c r="G20" s="85">
        <f t="shared" si="3"/>
        <v>2.6388888888888888</v>
      </c>
      <c r="H20" s="119">
        <f t="shared" si="4"/>
        <v>3</v>
      </c>
      <c r="I20" s="87">
        <f t="shared" si="5"/>
        <v>2.5</v>
      </c>
      <c r="J20" s="88">
        <f t="shared" si="6"/>
        <v>329.37896551724134</v>
      </c>
      <c r="K20" s="90">
        <f t="shared" si="7"/>
        <v>270</v>
      </c>
      <c r="L20" s="89">
        <f t="shared" si="8"/>
        <v>500</v>
      </c>
      <c r="M20" s="90">
        <f t="shared" si="9"/>
        <v>1099.3789655172413</v>
      </c>
      <c r="N20" s="88">
        <f t="shared" si="12"/>
        <v>274.53785398335322</v>
      </c>
      <c r="O20" s="91">
        <f t="shared" si="10"/>
        <v>1373.9168195005946</v>
      </c>
      <c r="P20" s="66">
        <v>3</v>
      </c>
      <c r="Q20" s="126">
        <f t="shared" si="11"/>
        <v>457.97227316686485</v>
      </c>
      <c r="R20" s="93"/>
    </row>
    <row r="21" spans="1:18" s="68" customFormat="1" x14ac:dyDescent="0.2">
      <c r="A21" s="79">
        <v>700</v>
      </c>
      <c r="B21" s="120">
        <v>100</v>
      </c>
      <c r="C21" s="81">
        <f t="shared" si="0"/>
        <v>80</v>
      </c>
      <c r="D21" s="82">
        <f t="shared" si="1"/>
        <v>10</v>
      </c>
      <c r="E21" s="121">
        <v>15</v>
      </c>
      <c r="F21" s="84">
        <f t="shared" si="2"/>
        <v>25</v>
      </c>
      <c r="G21" s="85">
        <f t="shared" si="3"/>
        <v>2.7777777777777777</v>
      </c>
      <c r="H21" s="119">
        <f t="shared" si="4"/>
        <v>3</v>
      </c>
      <c r="I21" s="87">
        <f t="shared" si="5"/>
        <v>2.5</v>
      </c>
      <c r="J21" s="88">
        <f t="shared" si="6"/>
        <v>376.4331034482758</v>
      </c>
      <c r="K21" s="90">
        <f t="shared" si="7"/>
        <v>270</v>
      </c>
      <c r="L21" s="89">
        <f t="shared" si="8"/>
        <v>500</v>
      </c>
      <c r="M21" s="90">
        <f t="shared" si="9"/>
        <v>1146.4331034482757</v>
      </c>
      <c r="N21" s="88">
        <f t="shared" si="12"/>
        <v>286.28825348508013</v>
      </c>
      <c r="O21" s="91">
        <f t="shared" si="10"/>
        <v>1432.7213569333558</v>
      </c>
      <c r="P21" s="66">
        <v>4</v>
      </c>
      <c r="Q21" s="126">
        <f t="shared" si="11"/>
        <v>477.5737856444519</v>
      </c>
      <c r="R21" s="93"/>
    </row>
    <row r="22" spans="1:18" s="68" customFormat="1" x14ac:dyDescent="0.2">
      <c r="A22" s="79">
        <v>800</v>
      </c>
      <c r="B22" s="120">
        <v>100</v>
      </c>
      <c r="C22" s="81">
        <f t="shared" si="0"/>
        <v>90</v>
      </c>
      <c r="D22" s="82">
        <f t="shared" si="1"/>
        <v>11.25</v>
      </c>
      <c r="E22" s="121">
        <v>15</v>
      </c>
      <c r="F22" s="84">
        <f t="shared" si="2"/>
        <v>26.25</v>
      </c>
      <c r="G22" s="85">
        <f t="shared" si="3"/>
        <v>2.9166666666666665</v>
      </c>
      <c r="H22" s="119">
        <f t="shared" si="4"/>
        <v>3</v>
      </c>
      <c r="I22" s="87">
        <f t="shared" si="5"/>
        <v>2.5</v>
      </c>
      <c r="J22" s="88">
        <f t="shared" si="6"/>
        <v>423.48724137931032</v>
      </c>
      <c r="K22" s="90">
        <f t="shared" si="7"/>
        <v>270</v>
      </c>
      <c r="L22" s="89">
        <f t="shared" si="8"/>
        <v>500</v>
      </c>
      <c r="M22" s="90">
        <f t="shared" si="9"/>
        <v>1193.4872413793103</v>
      </c>
      <c r="N22" s="88">
        <f t="shared" si="12"/>
        <v>298.03865298680716</v>
      </c>
      <c r="O22" s="91">
        <f t="shared" si="10"/>
        <v>1491.5258943661174</v>
      </c>
      <c r="P22" s="66">
        <v>5</v>
      </c>
      <c r="Q22" s="126">
        <f t="shared" si="11"/>
        <v>497.17529812203912</v>
      </c>
      <c r="R22" s="93"/>
    </row>
    <row r="23" spans="1:18" s="68" customFormat="1" x14ac:dyDescent="0.2">
      <c r="A23" s="79">
        <v>900</v>
      </c>
      <c r="B23" s="120">
        <v>100</v>
      </c>
      <c r="C23" s="81">
        <f t="shared" si="0"/>
        <v>100</v>
      </c>
      <c r="D23" s="82">
        <f t="shared" si="1"/>
        <v>12.5</v>
      </c>
      <c r="E23" s="121">
        <v>15</v>
      </c>
      <c r="F23" s="84">
        <f t="shared" si="2"/>
        <v>27.5</v>
      </c>
      <c r="G23" s="85">
        <f t="shared" si="3"/>
        <v>3.0555555555555554</v>
      </c>
      <c r="H23" s="119">
        <f t="shared" si="4"/>
        <v>4</v>
      </c>
      <c r="I23" s="87">
        <f t="shared" si="5"/>
        <v>3.5</v>
      </c>
      <c r="J23" s="88">
        <f t="shared" si="6"/>
        <v>470.54137931034478</v>
      </c>
      <c r="K23" s="90">
        <f t="shared" si="7"/>
        <v>360</v>
      </c>
      <c r="L23" s="89">
        <f t="shared" si="8"/>
        <v>700</v>
      </c>
      <c r="M23" s="90">
        <f t="shared" si="9"/>
        <v>1530.5413793103448</v>
      </c>
      <c r="N23" s="88">
        <f t="shared" si="12"/>
        <v>382.20810010758174</v>
      </c>
      <c r="O23" s="91">
        <f t="shared" si="10"/>
        <v>1912.7494794179265</v>
      </c>
      <c r="P23" s="66">
        <v>6</v>
      </c>
      <c r="Q23" s="126">
        <f t="shared" si="11"/>
        <v>478.18736985448163</v>
      </c>
      <c r="R23" s="93"/>
    </row>
    <row r="24" spans="1:18" s="68" customFormat="1" x14ac:dyDescent="0.2">
      <c r="A24" s="79">
        <v>1000</v>
      </c>
      <c r="B24" s="120">
        <v>100</v>
      </c>
      <c r="C24" s="81">
        <f t="shared" si="0"/>
        <v>110</v>
      </c>
      <c r="D24" s="82">
        <f t="shared" si="1"/>
        <v>13.75</v>
      </c>
      <c r="E24" s="121">
        <v>15</v>
      </c>
      <c r="F24" s="84">
        <f t="shared" si="2"/>
        <v>28.75</v>
      </c>
      <c r="G24" s="85">
        <f t="shared" si="3"/>
        <v>3.1944444444444446</v>
      </c>
      <c r="H24" s="119">
        <f t="shared" si="4"/>
        <v>4</v>
      </c>
      <c r="I24" s="87">
        <f t="shared" si="5"/>
        <v>3.5</v>
      </c>
      <c r="J24" s="88">
        <f t="shared" si="6"/>
        <v>517.5955172413793</v>
      </c>
      <c r="K24" s="90">
        <f t="shared" si="7"/>
        <v>360</v>
      </c>
      <c r="L24" s="89">
        <f t="shared" si="8"/>
        <v>700</v>
      </c>
      <c r="M24" s="90">
        <f t="shared" si="9"/>
        <v>1577.5955172413792</v>
      </c>
      <c r="N24" s="88">
        <f t="shared" si="12"/>
        <v>393.95849960930872</v>
      </c>
      <c r="O24" s="91">
        <f t="shared" si="10"/>
        <v>1971.554016850688</v>
      </c>
      <c r="P24" s="66">
        <v>7</v>
      </c>
      <c r="Q24" s="126">
        <f t="shared" si="11"/>
        <v>492.88850421267199</v>
      </c>
      <c r="R24" s="93"/>
    </row>
    <row r="25" spans="1:18" s="68" customFormat="1" x14ac:dyDescent="0.2">
      <c r="A25" s="79">
        <v>1100</v>
      </c>
      <c r="B25" s="120">
        <v>100</v>
      </c>
      <c r="C25" s="81">
        <f t="shared" si="0"/>
        <v>120</v>
      </c>
      <c r="D25" s="82">
        <f t="shared" si="1"/>
        <v>15</v>
      </c>
      <c r="E25" s="121">
        <v>15</v>
      </c>
      <c r="F25" s="84">
        <f t="shared" si="2"/>
        <v>30</v>
      </c>
      <c r="G25" s="85">
        <f t="shared" si="3"/>
        <v>3.3333333333333335</v>
      </c>
      <c r="H25" s="119">
        <f t="shared" si="4"/>
        <v>4</v>
      </c>
      <c r="I25" s="87">
        <f t="shared" si="5"/>
        <v>3.5</v>
      </c>
      <c r="J25" s="88">
        <f t="shared" si="6"/>
        <v>564.64965517241376</v>
      </c>
      <c r="K25" s="90">
        <f t="shared" si="7"/>
        <v>360</v>
      </c>
      <c r="L25" s="89">
        <f t="shared" si="8"/>
        <v>700</v>
      </c>
      <c r="M25" s="90">
        <f t="shared" si="9"/>
        <v>1624.6496551724138</v>
      </c>
      <c r="N25" s="88">
        <f t="shared" si="12"/>
        <v>405.70889911103569</v>
      </c>
      <c r="O25" s="91">
        <f t="shared" si="10"/>
        <v>2030.3585542834494</v>
      </c>
      <c r="P25" s="66">
        <v>8</v>
      </c>
      <c r="Q25" s="126">
        <f t="shared" si="11"/>
        <v>507.58963857086235</v>
      </c>
      <c r="R25" s="93"/>
    </row>
    <row r="26" spans="1:18" s="68" customFormat="1" x14ac:dyDescent="0.2">
      <c r="A26" s="79">
        <v>1200</v>
      </c>
      <c r="B26" s="120">
        <v>100</v>
      </c>
      <c r="C26" s="81">
        <f t="shared" si="0"/>
        <v>130</v>
      </c>
      <c r="D26" s="82">
        <f t="shared" si="1"/>
        <v>16.25</v>
      </c>
      <c r="E26" s="121">
        <v>15</v>
      </c>
      <c r="F26" s="84">
        <f t="shared" si="2"/>
        <v>31.25</v>
      </c>
      <c r="G26" s="85">
        <f t="shared" si="3"/>
        <v>3.4722222222222223</v>
      </c>
      <c r="H26" s="119">
        <f t="shared" si="4"/>
        <v>4</v>
      </c>
      <c r="I26" s="87">
        <f t="shared" si="5"/>
        <v>3.5</v>
      </c>
      <c r="J26" s="88">
        <f t="shared" si="6"/>
        <v>611.70379310344822</v>
      </c>
      <c r="K26" s="90">
        <f t="shared" si="7"/>
        <v>360</v>
      </c>
      <c r="L26" s="89">
        <f t="shared" si="8"/>
        <v>700</v>
      </c>
      <c r="M26" s="90">
        <f t="shared" si="9"/>
        <v>1671.7037931034483</v>
      </c>
      <c r="N26" s="88">
        <f t="shared" si="12"/>
        <v>417.45929861276272</v>
      </c>
      <c r="O26" s="91">
        <f t="shared" si="10"/>
        <v>2089.1630917162111</v>
      </c>
      <c r="P26" s="66">
        <v>9</v>
      </c>
      <c r="Q26" s="126">
        <f t="shared" si="11"/>
        <v>522.29077292905276</v>
      </c>
      <c r="R26" s="93"/>
    </row>
    <row r="27" spans="1:18" s="68" customFormat="1" x14ac:dyDescent="0.2">
      <c r="A27" s="79">
        <v>1300</v>
      </c>
      <c r="B27" s="120">
        <v>100</v>
      </c>
      <c r="C27" s="81">
        <f t="shared" si="0"/>
        <v>140</v>
      </c>
      <c r="D27" s="82">
        <f t="shared" si="1"/>
        <v>17.5</v>
      </c>
      <c r="E27" s="121">
        <v>15</v>
      </c>
      <c r="F27" s="84">
        <f t="shared" si="2"/>
        <v>32.5</v>
      </c>
      <c r="G27" s="85">
        <f t="shared" si="3"/>
        <v>3.6111111111111112</v>
      </c>
      <c r="H27" s="119">
        <f t="shared" si="4"/>
        <v>4</v>
      </c>
      <c r="I27" s="87">
        <f t="shared" si="5"/>
        <v>3.5</v>
      </c>
      <c r="J27" s="88">
        <f t="shared" si="6"/>
        <v>658.75793103448268</v>
      </c>
      <c r="K27" s="90">
        <f t="shared" si="7"/>
        <v>360</v>
      </c>
      <c r="L27" s="89">
        <f t="shared" si="8"/>
        <v>700</v>
      </c>
      <c r="M27" s="90">
        <f t="shared" si="9"/>
        <v>1718.7579310344827</v>
      </c>
      <c r="N27" s="88">
        <f t="shared" si="12"/>
        <v>429.20969811448964</v>
      </c>
      <c r="O27" s="91">
        <f t="shared" si="10"/>
        <v>2147.9676291489723</v>
      </c>
      <c r="P27" s="66">
        <v>10</v>
      </c>
      <c r="Q27" s="126">
        <f t="shared" si="11"/>
        <v>536.99190728724307</v>
      </c>
      <c r="R27" s="93"/>
    </row>
    <row r="28" spans="1:18" s="68" customFormat="1" x14ac:dyDescent="0.2">
      <c r="A28" s="79">
        <v>1400</v>
      </c>
      <c r="B28" s="120">
        <v>100</v>
      </c>
      <c r="C28" s="81">
        <f t="shared" si="0"/>
        <v>150</v>
      </c>
      <c r="D28" s="82">
        <f t="shared" si="1"/>
        <v>18.75</v>
      </c>
      <c r="E28" s="121">
        <v>15</v>
      </c>
      <c r="F28" s="84">
        <f t="shared" si="2"/>
        <v>33.75</v>
      </c>
      <c r="G28" s="85">
        <f t="shared" si="3"/>
        <v>3.75</v>
      </c>
      <c r="H28" s="119">
        <f t="shared" si="4"/>
        <v>4</v>
      </c>
      <c r="I28" s="87">
        <f t="shared" si="5"/>
        <v>3.5</v>
      </c>
      <c r="J28" s="88">
        <f t="shared" si="6"/>
        <v>705.81206896551714</v>
      </c>
      <c r="K28" s="90">
        <f t="shared" si="7"/>
        <v>360</v>
      </c>
      <c r="L28" s="89">
        <f t="shared" si="8"/>
        <v>700</v>
      </c>
      <c r="M28" s="90">
        <f t="shared" si="9"/>
        <v>1765.812068965517</v>
      </c>
      <c r="N28" s="88">
        <f t="shared" si="12"/>
        <v>440.96009761621656</v>
      </c>
      <c r="O28" s="91">
        <f t="shared" si="10"/>
        <v>2206.7721665817335</v>
      </c>
      <c r="P28" s="66">
        <v>11</v>
      </c>
      <c r="Q28" s="126">
        <f t="shared" si="11"/>
        <v>551.69304164543337</v>
      </c>
      <c r="R28" s="93"/>
    </row>
    <row r="29" spans="1:18" s="68" customFormat="1" x14ac:dyDescent="0.2">
      <c r="A29" s="79">
        <v>1500</v>
      </c>
      <c r="B29" s="120">
        <v>100</v>
      </c>
      <c r="C29" s="81">
        <f t="shared" si="0"/>
        <v>160</v>
      </c>
      <c r="D29" s="82">
        <f t="shared" si="1"/>
        <v>20</v>
      </c>
      <c r="E29" s="121">
        <v>15</v>
      </c>
      <c r="F29" s="84">
        <f t="shared" si="2"/>
        <v>35</v>
      </c>
      <c r="G29" s="85">
        <f t="shared" si="3"/>
        <v>3.8888888888888888</v>
      </c>
      <c r="H29" s="119">
        <f t="shared" si="4"/>
        <v>4</v>
      </c>
      <c r="I29" s="87">
        <f t="shared" si="5"/>
        <v>3.5</v>
      </c>
      <c r="J29" s="88">
        <f t="shared" si="6"/>
        <v>752.8662068965516</v>
      </c>
      <c r="K29" s="90">
        <f t="shared" si="7"/>
        <v>360</v>
      </c>
      <c r="L29" s="89">
        <f t="shared" si="8"/>
        <v>700</v>
      </c>
      <c r="M29" s="90">
        <f t="shared" si="9"/>
        <v>1812.8662068965516</v>
      </c>
      <c r="N29" s="88">
        <f t="shared" si="12"/>
        <v>452.71049711794359</v>
      </c>
      <c r="O29" s="91">
        <f t="shared" si="10"/>
        <v>2265.5767040144951</v>
      </c>
      <c r="P29" s="66">
        <v>12</v>
      </c>
      <c r="Q29" s="126">
        <f t="shared" si="11"/>
        <v>566.39417600362378</v>
      </c>
      <c r="R29" s="93"/>
    </row>
    <row r="30" spans="1:18" s="68" customFormat="1" x14ac:dyDescent="0.2">
      <c r="A30" s="79">
        <v>1600</v>
      </c>
      <c r="B30" s="120">
        <v>100</v>
      </c>
      <c r="C30" s="81">
        <f t="shared" si="0"/>
        <v>170</v>
      </c>
      <c r="D30" s="82">
        <f t="shared" si="1"/>
        <v>21.25</v>
      </c>
      <c r="E30" s="121">
        <v>15</v>
      </c>
      <c r="F30" s="84">
        <f t="shared" si="2"/>
        <v>36.25</v>
      </c>
      <c r="G30" s="85">
        <f t="shared" si="3"/>
        <v>4.0277777777777777</v>
      </c>
      <c r="H30" s="119">
        <f t="shared" si="4"/>
        <v>5</v>
      </c>
      <c r="I30" s="87">
        <f t="shared" si="5"/>
        <v>4.5</v>
      </c>
      <c r="J30" s="88">
        <f t="shared" si="6"/>
        <v>799.92034482758618</v>
      </c>
      <c r="K30" s="90">
        <f t="shared" si="7"/>
        <v>450</v>
      </c>
      <c r="L30" s="89">
        <f t="shared" si="8"/>
        <v>900</v>
      </c>
      <c r="M30" s="90">
        <f t="shared" si="9"/>
        <v>2149.9203448275862</v>
      </c>
      <c r="N30" s="88">
        <f t="shared" si="12"/>
        <v>536.87994423871817</v>
      </c>
      <c r="O30" s="91">
        <f t="shared" si="10"/>
        <v>2686.8002890663042</v>
      </c>
      <c r="P30" s="66">
        <v>13</v>
      </c>
      <c r="Q30" s="126">
        <f t="shared" si="11"/>
        <v>537.36005781326082</v>
      </c>
      <c r="R30" s="93"/>
    </row>
    <row r="31" spans="1:18" s="68" customFormat="1" x14ac:dyDescent="0.2">
      <c r="A31" s="79">
        <v>1700</v>
      </c>
      <c r="B31" s="120">
        <v>100</v>
      </c>
      <c r="C31" s="81">
        <f t="shared" si="0"/>
        <v>180</v>
      </c>
      <c r="D31" s="82">
        <f t="shared" si="1"/>
        <v>22.5</v>
      </c>
      <c r="E31" s="121">
        <v>15</v>
      </c>
      <c r="F31" s="84">
        <f t="shared" si="2"/>
        <v>37.5</v>
      </c>
      <c r="G31" s="85">
        <f t="shared" si="3"/>
        <v>4.166666666666667</v>
      </c>
      <c r="H31" s="119">
        <f t="shared" si="4"/>
        <v>5</v>
      </c>
      <c r="I31" s="87">
        <f t="shared" si="5"/>
        <v>4.5</v>
      </c>
      <c r="J31" s="88">
        <f t="shared" si="6"/>
        <v>846.97448275862064</v>
      </c>
      <c r="K31" s="90">
        <f t="shared" si="7"/>
        <v>450</v>
      </c>
      <c r="L31" s="89">
        <f t="shared" si="8"/>
        <v>900</v>
      </c>
      <c r="M31" s="90">
        <f t="shared" si="9"/>
        <v>2196.9744827586205</v>
      </c>
      <c r="N31" s="88">
        <f t="shared" si="12"/>
        <v>548.63034374044514</v>
      </c>
      <c r="O31" s="91">
        <f t="shared" si="10"/>
        <v>2745.6048264990659</v>
      </c>
      <c r="P31" s="66">
        <v>14</v>
      </c>
      <c r="Q31" s="126">
        <f t="shared" si="11"/>
        <v>549.12096529981318</v>
      </c>
      <c r="R31" s="93"/>
    </row>
    <row r="32" spans="1:18" s="68" customFormat="1" x14ac:dyDescent="0.2">
      <c r="A32" s="79">
        <v>1800</v>
      </c>
      <c r="B32" s="120">
        <v>100</v>
      </c>
      <c r="C32" s="81">
        <f t="shared" si="0"/>
        <v>190</v>
      </c>
      <c r="D32" s="82">
        <f t="shared" si="1"/>
        <v>23.75</v>
      </c>
      <c r="E32" s="121">
        <v>15</v>
      </c>
      <c r="F32" s="84">
        <f t="shared" si="2"/>
        <v>38.75</v>
      </c>
      <c r="G32" s="85">
        <f t="shared" si="3"/>
        <v>4.3055555555555554</v>
      </c>
      <c r="H32" s="119">
        <f t="shared" si="4"/>
        <v>5</v>
      </c>
      <c r="I32" s="87">
        <f t="shared" si="5"/>
        <v>4.5</v>
      </c>
      <c r="J32" s="88">
        <f t="shared" si="6"/>
        <v>894.0286206896551</v>
      </c>
      <c r="K32" s="90">
        <f t="shared" si="7"/>
        <v>450</v>
      </c>
      <c r="L32" s="89">
        <f t="shared" si="8"/>
        <v>900</v>
      </c>
      <c r="M32" s="90">
        <f t="shared" si="9"/>
        <v>2244.0286206896553</v>
      </c>
      <c r="N32" s="88">
        <f t="shared" si="12"/>
        <v>560.38074324217223</v>
      </c>
      <c r="O32" s="91">
        <f t="shared" si="10"/>
        <v>2804.4093639318276</v>
      </c>
      <c r="P32" s="66">
        <v>15</v>
      </c>
      <c r="Q32" s="126">
        <f t="shared" si="11"/>
        <v>560.88187278636553</v>
      </c>
      <c r="R32" s="93"/>
    </row>
    <row r="33" spans="1:18" s="68" customFormat="1" x14ac:dyDescent="0.2">
      <c r="A33" s="79">
        <v>1900</v>
      </c>
      <c r="B33" s="120">
        <v>100</v>
      </c>
      <c r="C33" s="81">
        <f t="shared" si="0"/>
        <v>200</v>
      </c>
      <c r="D33" s="82">
        <f t="shared" si="1"/>
        <v>25</v>
      </c>
      <c r="E33" s="121">
        <v>15</v>
      </c>
      <c r="F33" s="84">
        <f t="shared" si="2"/>
        <v>40</v>
      </c>
      <c r="G33" s="85">
        <f t="shared" si="3"/>
        <v>4.4444444444444446</v>
      </c>
      <c r="H33" s="119">
        <f t="shared" si="4"/>
        <v>5</v>
      </c>
      <c r="I33" s="87">
        <f t="shared" si="5"/>
        <v>4.5</v>
      </c>
      <c r="J33" s="88">
        <f t="shared" si="6"/>
        <v>941.08275862068956</v>
      </c>
      <c r="K33" s="90">
        <f t="shared" si="7"/>
        <v>450</v>
      </c>
      <c r="L33" s="89">
        <f t="shared" si="8"/>
        <v>900</v>
      </c>
      <c r="M33" s="90">
        <f t="shared" si="9"/>
        <v>2291.0827586206897</v>
      </c>
      <c r="N33" s="88">
        <f t="shared" si="12"/>
        <v>572.13114274389909</v>
      </c>
      <c r="O33" s="91">
        <f t="shared" si="10"/>
        <v>2863.2139013645888</v>
      </c>
      <c r="P33" s="66">
        <v>16</v>
      </c>
      <c r="Q33" s="126">
        <f t="shared" si="11"/>
        <v>572.64278027291778</v>
      </c>
      <c r="R33" s="93"/>
    </row>
    <row r="34" spans="1:18" s="68" customFormat="1" x14ac:dyDescent="0.2">
      <c r="A34" s="79">
        <v>2000</v>
      </c>
      <c r="B34" s="120">
        <v>100</v>
      </c>
      <c r="C34" s="81">
        <f t="shared" si="0"/>
        <v>210</v>
      </c>
      <c r="D34" s="82">
        <f t="shared" si="1"/>
        <v>26.25</v>
      </c>
      <c r="E34" s="121">
        <v>15</v>
      </c>
      <c r="F34" s="84">
        <f t="shared" si="2"/>
        <v>41.25</v>
      </c>
      <c r="G34" s="85">
        <f t="shared" si="3"/>
        <v>4.583333333333333</v>
      </c>
      <c r="H34" s="119">
        <f t="shared" si="4"/>
        <v>5</v>
      </c>
      <c r="I34" s="87">
        <f t="shared" si="5"/>
        <v>4.5</v>
      </c>
      <c r="J34" s="88">
        <f t="shared" si="6"/>
        <v>988.13689655172402</v>
      </c>
      <c r="K34" s="90">
        <f t="shared" si="7"/>
        <v>450</v>
      </c>
      <c r="L34" s="89">
        <f t="shared" si="8"/>
        <v>900</v>
      </c>
      <c r="M34" s="90">
        <f t="shared" si="9"/>
        <v>2338.136896551724</v>
      </c>
      <c r="N34" s="88">
        <f t="shared" si="12"/>
        <v>583.88154224562606</v>
      </c>
      <c r="O34" s="91">
        <f t="shared" si="10"/>
        <v>2922.01843879735</v>
      </c>
      <c r="P34" s="66">
        <v>17</v>
      </c>
      <c r="Q34" s="126">
        <f t="shared" si="11"/>
        <v>584.40368775947002</v>
      </c>
      <c r="R34" s="93"/>
    </row>
    <row r="35" spans="1:18" s="68" customFormat="1" x14ac:dyDescent="0.2">
      <c r="A35" s="79">
        <v>2100</v>
      </c>
      <c r="B35" s="120">
        <v>100</v>
      </c>
      <c r="C35" s="81">
        <f t="shared" si="0"/>
        <v>220</v>
      </c>
      <c r="D35" s="82">
        <f t="shared" si="1"/>
        <v>27.5</v>
      </c>
      <c r="E35" s="121">
        <v>15</v>
      </c>
      <c r="F35" s="84">
        <f t="shared" si="2"/>
        <v>42.5</v>
      </c>
      <c r="G35" s="85">
        <f t="shared" si="3"/>
        <v>4.7222222222222223</v>
      </c>
      <c r="H35" s="119">
        <f t="shared" si="4"/>
        <v>5</v>
      </c>
      <c r="I35" s="87">
        <f t="shared" si="5"/>
        <v>4.5</v>
      </c>
      <c r="J35" s="88">
        <f t="shared" si="6"/>
        <v>1035.1910344827586</v>
      </c>
      <c r="K35" s="90">
        <f t="shared" si="7"/>
        <v>450</v>
      </c>
      <c r="L35" s="89">
        <f t="shared" si="8"/>
        <v>900</v>
      </c>
      <c r="M35" s="90">
        <f t="shared" si="9"/>
        <v>2385.1910344827584</v>
      </c>
      <c r="N35" s="88">
        <f t="shared" si="12"/>
        <v>595.63194174735304</v>
      </c>
      <c r="O35" s="91">
        <f t="shared" si="10"/>
        <v>2980.8229762301116</v>
      </c>
      <c r="P35" s="66">
        <v>18</v>
      </c>
      <c r="Q35" s="126">
        <f t="shared" si="11"/>
        <v>596.16459524602237</v>
      </c>
      <c r="R35" s="93"/>
    </row>
    <row r="36" spans="1:18" s="68" customFormat="1" x14ac:dyDescent="0.2">
      <c r="A36" s="79">
        <v>2200</v>
      </c>
      <c r="B36" s="120">
        <v>100</v>
      </c>
      <c r="C36" s="81">
        <f t="shared" si="0"/>
        <v>230</v>
      </c>
      <c r="D36" s="82">
        <f t="shared" si="1"/>
        <v>28.75</v>
      </c>
      <c r="E36" s="121">
        <v>15</v>
      </c>
      <c r="F36" s="84">
        <f t="shared" si="2"/>
        <v>43.75</v>
      </c>
      <c r="G36" s="85">
        <f t="shared" si="3"/>
        <v>4.8611111111111107</v>
      </c>
      <c r="H36" s="119">
        <f t="shared" si="4"/>
        <v>5</v>
      </c>
      <c r="I36" s="87">
        <f t="shared" si="5"/>
        <v>4.5</v>
      </c>
      <c r="J36" s="88">
        <f t="shared" si="6"/>
        <v>1082.2451724137929</v>
      </c>
      <c r="K36" s="90">
        <f t="shared" si="7"/>
        <v>450</v>
      </c>
      <c r="L36" s="89">
        <f t="shared" si="8"/>
        <v>900</v>
      </c>
      <c r="M36" s="90">
        <f t="shared" si="9"/>
        <v>2432.2451724137927</v>
      </c>
      <c r="N36" s="88">
        <f t="shared" si="12"/>
        <v>607.3823412490799</v>
      </c>
      <c r="O36" s="91">
        <f t="shared" si="10"/>
        <v>3039.6275136628728</v>
      </c>
      <c r="P36" s="66">
        <v>19</v>
      </c>
      <c r="Q36" s="126">
        <f t="shared" si="11"/>
        <v>607.92550273257461</v>
      </c>
      <c r="R36" s="93"/>
    </row>
    <row r="37" spans="1:18" s="68" customFormat="1" x14ac:dyDescent="0.2">
      <c r="A37" s="79">
        <v>2300</v>
      </c>
      <c r="B37" s="120">
        <v>100</v>
      </c>
      <c r="C37" s="81">
        <f t="shared" si="0"/>
        <v>240</v>
      </c>
      <c r="D37" s="82">
        <f t="shared" si="1"/>
        <v>30</v>
      </c>
      <c r="E37" s="121">
        <v>15</v>
      </c>
      <c r="F37" s="84">
        <f t="shared" si="2"/>
        <v>45</v>
      </c>
      <c r="G37" s="85">
        <f t="shared" si="3"/>
        <v>5</v>
      </c>
      <c r="H37" s="119">
        <f t="shared" si="4"/>
        <v>5</v>
      </c>
      <c r="I37" s="87">
        <f t="shared" si="5"/>
        <v>4.5</v>
      </c>
      <c r="J37" s="88">
        <f t="shared" si="6"/>
        <v>1129.2993103448275</v>
      </c>
      <c r="K37" s="90">
        <f t="shared" si="7"/>
        <v>450</v>
      </c>
      <c r="L37" s="89">
        <f t="shared" si="8"/>
        <v>900</v>
      </c>
      <c r="M37" s="90">
        <f t="shared" si="9"/>
        <v>2479.2993103448275</v>
      </c>
      <c r="N37" s="88">
        <f t="shared" si="12"/>
        <v>619.13274075080699</v>
      </c>
      <c r="O37" s="91">
        <f t="shared" si="10"/>
        <v>3098.4320510956345</v>
      </c>
      <c r="P37" s="66">
        <v>20</v>
      </c>
      <c r="Q37" s="126">
        <f t="shared" si="11"/>
        <v>619.68641021912686</v>
      </c>
      <c r="R37" s="93"/>
    </row>
    <row r="38" spans="1:18" s="108" customFormat="1" x14ac:dyDescent="0.2">
      <c r="D38" s="109"/>
      <c r="E38" s="110"/>
      <c r="F38" s="111"/>
      <c r="G38" s="112"/>
      <c r="H38" s="112"/>
      <c r="I38" s="112"/>
      <c r="J38" s="112"/>
      <c r="N38" s="68"/>
      <c r="O38" s="113"/>
      <c r="P38" s="114"/>
      <c r="Q38" s="127">
        <f>SUM(Q18:Q37)</f>
        <v>10574.082648467245</v>
      </c>
    </row>
    <row r="39" spans="1:18" x14ac:dyDescent="0.2">
      <c r="O39" s="116"/>
      <c r="Q39" s="127">
        <f>Q38/20</f>
        <v>528.70413242336224</v>
      </c>
    </row>
    <row r="44" spans="1:18" x14ac:dyDescent="0.2">
      <c r="D44" s="38"/>
      <c r="E44" s="38"/>
      <c r="F44" s="38"/>
      <c r="G44" s="38"/>
      <c r="H44" s="38"/>
      <c r="I44" s="38"/>
      <c r="J44" s="38"/>
      <c r="N44" s="38"/>
      <c r="O44" s="38"/>
      <c r="P44" s="38"/>
      <c r="Q44" s="38"/>
    </row>
    <row r="45" spans="1:18" x14ac:dyDescent="0.2">
      <c r="D45" s="38"/>
      <c r="E45" s="38"/>
      <c r="F45" s="38"/>
      <c r="G45" s="38"/>
      <c r="H45" s="38"/>
      <c r="I45" s="38"/>
      <c r="J45" s="38"/>
      <c r="N45" s="38"/>
      <c r="O45" s="38"/>
      <c r="P45" s="38"/>
      <c r="Q45" s="38"/>
    </row>
    <row r="46" spans="1:18" x14ac:dyDescent="0.2">
      <c r="D46" s="38"/>
      <c r="E46" s="38"/>
      <c r="F46" s="38"/>
      <c r="G46" s="38"/>
      <c r="H46" s="38"/>
      <c r="I46" s="38"/>
      <c r="J46" s="38"/>
      <c r="N46" s="38"/>
      <c r="O46" s="38"/>
      <c r="P46" s="38"/>
      <c r="Q46" s="38"/>
    </row>
    <row r="47" spans="1:18" x14ac:dyDescent="0.2">
      <c r="D47" s="38"/>
      <c r="E47" s="38"/>
      <c r="F47" s="38"/>
      <c r="G47" s="38"/>
      <c r="H47" s="38"/>
      <c r="I47" s="38"/>
      <c r="J47" s="38"/>
      <c r="N47" s="38"/>
      <c r="O47" s="38"/>
      <c r="P47" s="38"/>
      <c r="Q47" s="38"/>
    </row>
    <row r="48" spans="1:18" x14ac:dyDescent="0.2">
      <c r="D48" s="38"/>
      <c r="E48" s="38"/>
      <c r="F48" s="38"/>
      <c r="G48" s="38"/>
      <c r="H48" s="38"/>
      <c r="I48" s="38"/>
      <c r="J48" s="38"/>
      <c r="N48" s="38"/>
      <c r="O48" s="38"/>
      <c r="P48" s="38"/>
      <c r="Q48" s="38"/>
    </row>
    <row r="49" spans="4:17" x14ac:dyDescent="0.2">
      <c r="D49" s="38"/>
      <c r="E49" s="38"/>
      <c r="F49" s="38"/>
      <c r="G49" s="38"/>
      <c r="H49" s="38"/>
      <c r="I49" s="38"/>
      <c r="J49" s="38"/>
      <c r="N49" s="38"/>
      <c r="O49" s="38"/>
      <c r="P49" s="38"/>
      <c r="Q49" s="38"/>
    </row>
    <row r="51" spans="4:17" x14ac:dyDescent="0.2">
      <c r="D51" s="38"/>
      <c r="E51" s="38"/>
      <c r="F51" s="38"/>
      <c r="G51" s="38"/>
      <c r="H51" s="38"/>
      <c r="I51" s="38"/>
      <c r="J51" s="38"/>
      <c r="N51" s="38"/>
      <c r="O51" s="38"/>
      <c r="P51" s="38"/>
      <c r="Q51" s="38"/>
    </row>
  </sheetData>
  <mergeCells count="11">
    <mergeCell ref="A6:E6"/>
    <mergeCell ref="A11:E11"/>
    <mergeCell ref="A1:O1"/>
    <mergeCell ref="A2:O2"/>
    <mergeCell ref="A4:F4"/>
    <mergeCell ref="A5:F5"/>
    <mergeCell ref="A12:E12"/>
    <mergeCell ref="A10:E10"/>
    <mergeCell ref="A9:E9"/>
    <mergeCell ref="A8:E8"/>
    <mergeCell ref="A7:E7"/>
  </mergeCells>
  <printOptions horizontalCentered="1" verticalCentered="1"/>
  <pageMargins left="1.1811023622047245" right="0.59055118110236227" top="0.78740157480314965" bottom="0.78740157480314965" header="0.51181102362204722" footer="0.51181102362204722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9</vt:i4>
      </vt:variant>
    </vt:vector>
  </HeadingPairs>
  <TitlesOfParts>
    <vt:vector size="21" baseType="lpstr">
      <vt:lpstr>Postos</vt:lpstr>
      <vt:lpstr>EPIs</vt:lpstr>
      <vt:lpstr>Hora extra</vt:lpstr>
      <vt:lpstr>RESUMO</vt:lpstr>
      <vt:lpstr>Deslocamento 1 município</vt:lpstr>
      <vt:lpstr>Deslocamento 2 municípios</vt:lpstr>
      <vt:lpstr>Deslocamento 3 municípios</vt:lpstr>
      <vt:lpstr>Deslocamento 4 municípios</vt:lpstr>
      <vt:lpstr>Deslocamento 5 municípios</vt:lpstr>
      <vt:lpstr>DESLOC.MÉDIO</vt:lpstr>
      <vt:lpstr>TOTAL DESLOCAMENTO</vt:lpstr>
      <vt:lpstr>Valor médio gasolina comum</vt:lpstr>
      <vt:lpstr>DESLOC.MÉDIO!Area_de_impressao</vt:lpstr>
      <vt:lpstr>'Deslocamento 1 município'!Area_de_impressao</vt:lpstr>
      <vt:lpstr>'Deslocamento 2 municípios'!Area_de_impressao</vt:lpstr>
      <vt:lpstr>'Deslocamento 3 municípios'!Area_de_impressao</vt:lpstr>
      <vt:lpstr>'Deslocamento 4 municípios'!Area_de_impressao</vt:lpstr>
      <vt:lpstr>'Deslocamento 5 municípios'!Area_de_impressao</vt:lpstr>
      <vt:lpstr>RESUMO!Area_de_impressao</vt:lpstr>
      <vt:lpstr>'TOTAL DESLOCAMENTO'!Area_de_impressao</vt:lpstr>
      <vt:lpstr>RESUMO!Print_Area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Pregão Eletrônico 087-2014 - Contratação de empresa para prestação de serviços de engenharia e arquitetura.Repetição</dc:title>
  <dc:creator>092449090531</dc:creator>
  <cp:keywords>()</cp:keywords>
  <cp:lastModifiedBy>Marconni Rodrigues de Alcantara Santos</cp:lastModifiedBy>
  <cp:revision/>
  <dcterms:created xsi:type="dcterms:W3CDTF">2014-12-17T07:16:52Z</dcterms:created>
  <dcterms:modified xsi:type="dcterms:W3CDTF">2019-03-12T21:41:09Z</dcterms:modified>
</cp:coreProperties>
</file>