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7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state="hidden" r:id="rId11"/>
    <sheet name="Item12" sheetId="14" state="hidden" r:id="rId12"/>
    <sheet name="Item13" sheetId="15" state="hidden" r:id="rId13"/>
    <sheet name="Item14" sheetId="16" state="hidden" r:id="rId14"/>
    <sheet name="Item15" sheetId="17" state="hidden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27">total!$A$1:$G$19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H5" i="1" l="1"/>
  <c r="H5" i="7"/>
  <c r="H5" i="6" l="1"/>
  <c r="H5" i="4"/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17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F3" i="6"/>
  <c r="H20" i="6" s="1"/>
  <c r="G20" i="6" s="1"/>
  <c r="F20" i="5"/>
  <c r="D20" i="5"/>
  <c r="B20" i="5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A20" i="9" l="1"/>
  <c r="C20" i="9" s="1"/>
  <c r="I3" i="9" s="1"/>
  <c r="A20" i="5"/>
  <c r="C20" i="5" s="1"/>
  <c r="I6" i="5" s="1"/>
  <c r="A20" i="6"/>
  <c r="C20" i="6" s="1"/>
  <c r="I6" i="6" s="1"/>
  <c r="E20" i="28"/>
  <c r="H22" i="28" s="1"/>
  <c r="H23" i="28" s="1"/>
  <c r="I12" i="24"/>
  <c r="I3" i="24"/>
  <c r="I7" i="24"/>
  <c r="I11" i="24"/>
  <c r="I4" i="24"/>
  <c r="I10" i="24"/>
  <c r="I6" i="24"/>
  <c r="C20" i="16"/>
  <c r="I9" i="16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5" i="9"/>
  <c r="I11" i="9"/>
  <c r="I17" i="9"/>
  <c r="I15" i="6"/>
  <c r="I14" i="6"/>
  <c r="I7" i="6"/>
  <c r="I17" i="6"/>
  <c r="I16" i="6"/>
  <c r="I12" i="6"/>
  <c r="I12" i="5"/>
  <c r="I17" i="5"/>
  <c r="I11" i="5"/>
  <c r="I16" i="5"/>
  <c r="I13" i="5"/>
  <c r="I15" i="5"/>
  <c r="I14" i="5"/>
  <c r="A20" i="4"/>
  <c r="C20" i="4" s="1"/>
  <c r="C20" i="1"/>
  <c r="I8" i="6" l="1"/>
  <c r="I3" i="6"/>
  <c r="I5" i="6"/>
  <c r="I12" i="9"/>
  <c r="I8" i="9"/>
  <c r="I8" i="5"/>
  <c r="I6" i="16"/>
  <c r="E20" i="14"/>
  <c r="E3" i="14" s="1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9" l="1"/>
  <c r="H22" i="9" s="1"/>
  <c r="H23" i="9" s="1"/>
  <c r="E20" i="12"/>
  <c r="E3" i="12" s="1"/>
  <c r="F12" i="23" s="1"/>
  <c r="G12" i="23" s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E20" i="11"/>
  <c r="H22" i="11" s="1"/>
  <c r="H23" i="11" s="1"/>
  <c r="E20" i="10"/>
  <c r="H22" i="10" s="1"/>
  <c r="H23" i="10" s="1"/>
  <c r="E20" i="7"/>
  <c r="E20" i="4"/>
  <c r="E3" i="4" s="1"/>
  <c r="F4" i="23" s="1"/>
  <c r="G4" i="23" s="1"/>
  <c r="E20" i="17"/>
  <c r="E20" i="1"/>
  <c r="E3" i="9" l="1"/>
  <c r="F9" i="23" s="1"/>
  <c r="G9" i="23" s="1"/>
  <c r="H22" i="12"/>
  <c r="H23" i="12" s="1"/>
  <c r="E3" i="6"/>
  <c r="F6" i="23" s="1"/>
  <c r="G6" i="23" s="1"/>
  <c r="E3" i="20"/>
  <c r="E3" i="8"/>
  <c r="F8" i="23" s="1"/>
  <c r="G8" i="23" s="1"/>
  <c r="E3" i="21"/>
  <c r="E3" i="19"/>
  <c r="E3" i="15"/>
  <c r="H22" i="13"/>
  <c r="H23" i="13" s="1"/>
  <c r="E3" i="10"/>
  <c r="F10" i="23" s="1"/>
  <c r="G10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19" i="23" l="1"/>
  <c r="F15" i="23"/>
</calcChain>
</file>

<file path=xl/sharedStrings.xml><?xml version="1.0" encoding="utf-8"?>
<sst xmlns="http://schemas.openxmlformats.org/spreadsheetml/2006/main" count="842" uniqueCount="118">
  <si>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</si>
  <si>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</si>
  <si>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</si>
  <si>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</si>
  <si>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</si>
  <si>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</si>
  <si>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</si>
  <si>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</si>
  <si>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</si>
  <si>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</si>
  <si>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</si>
  <si>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</si>
  <si>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</si>
  <si>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</si>
  <si>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</si>
  <si>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</si>
  <si>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</si>
  <si>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</si>
  <si>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</si>
  <si>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</si>
  <si>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</si>
  <si>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</si>
  <si>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</si>
  <si>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</si>
  <si>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</si>
  <si>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</si>
  <si>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</si>
  <si>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</si>
  <si>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</si>
  <si>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</si>
  <si>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</si>
  <si>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</si>
  <si>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</si>
  <si>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</si>
  <si>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</si>
  <si>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</si>
  <si>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</si>
  <si>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</si>
  <si>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</si>
  <si>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</si>
  <si>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</si>
  <si>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</si>
  <si>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</si>
  <si>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</si>
  <si>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</si>
  <si>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</si>
  <si>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</si>
  <si>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</si>
  <si>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</si>
  <si>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</si>
  <si>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</si>
  <si>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</si>
  <si>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</si>
  <si>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</si>
  <si>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</si>
  <si>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</si>
  <si>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</si>
  <si>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</si>
  <si>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</si>
  <si>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</si>
  <si>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</si>
  <si>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</si>
  <si>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</si>
  <si>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</si>
  <si>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</si>
  <si>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</si>
  <si>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</si>
  <si>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</si>
  <si>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</si>
  <si>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</si>
  <si>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</si>
  <si>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</si>
  <si>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</si>
  <si>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</si>
  <si>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</si>
  <si>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</si>
  <si>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</si>
  <si>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</si>
  <si>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</si>
  <si>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</si>
  <si>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</si>
  <si>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</si>
  <si>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</si>
  <si>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</si>
  <si>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</si>
  <si>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</si>
  <si>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</si>
  <si>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</si>
  <si>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</si>
  <si>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</si>
  <si>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</si>
  <si>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</si>
  <si>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</si>
  <si>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</si>
  <si>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</si>
  <si>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</si>
  <si>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</si>
  <si>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</si>
  <si>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>n/a</t>
  </si>
  <si>
    <t>Switch de borda com uplink duplo de 10gbps e acessórios.
Switch acesso 48 portas com parcial PoE+ e Up Link de 10G
Modelo: C9200L-48PL-4X-E, CON-L1NBD-C9200XXE,
CON-L1SWT-C92LE48, C9200L-DNA-E-48-3Y, C9200L-STACK-KIT
48 Portas ethernet com parcial PoE+
Up Link SFP 10G
Licenciamento Essentials
Suporte e garantia Cisco Smartnet 60 meses</t>
  </si>
  <si>
    <t>Access point tipo wifi 6.
Ponto de Acesso - Cisco Catalyst 9105
Modelo: C9105AXI-Z, CON-L1NBD-C9105AXI, CON-L1SWT-AIRDNAE, AIR-DNA-E-5Y Wi-Fi 6E
Quatro rádios: 2,4GHz (2x2), 5GHz (2x2), 6GHz (2x2)
Suporte OFDMA e MU-MIMO
Licenças Cisco DNA Essentials subscrição período 60 meses
Incluindo: Kit de montagem e garantia CISCO Smartnet de 60 meses</t>
  </si>
  <si>
    <t>Controladora para 100 access points licenciada.
Controladora Wireless Cisco Catalyst 9800 (Virtual)
Modelo: Cisco 9800-CL, CON-L1SW-C9800CLC
Incluindo: CX LEVEL 1 SW Cisco Catalyst 9800.
Licenciada para 100 access points (item 2).
Suporte e garantia Cisco Smartnet 60 meses.</t>
  </si>
  <si>
    <t>Acessório.
SFP MONOMODO 10G
Modelo: SFP-10G-LR-S
10GBASE-LR 1310nm SMF
Suporte e garantia Cisco Smartnet 60 meses</t>
  </si>
  <si>
    <t>Acessório.
SFP MULTIMODO 10G
Modelo: SFP-10G-SR-S
10GBASE-SR 850nm MMF
Suporte e garantia Cisco Smartnet 60 meses</t>
  </si>
  <si>
    <t>Acessório.
SFP MONOMODO 40G
Modelo: QSFP-40G-LR-S
10GBASE-LR 1310nm SMF
Suporte e garantia Cisco Smartnet 60 meses</t>
  </si>
  <si>
    <t>Acessório.
SFP MULTIMODO 40G
Modelo: QSFP-40G-SR4-S
10GBASE-LR 850nm MMF
Suporte e garantia Cisco Smartnet 60 meses</t>
  </si>
  <si>
    <t>Acessório.
Cabo Stack
Modelo: STACK-T1-1M=, 1M Type 1 Stacking Cable</t>
  </si>
  <si>
    <t>Treinamento contínuo auto instrucional.
CISCO U Essentials.
Modelo: CSCU-ESSENTIALS-028769
Duração: 12 meses</t>
  </si>
  <si>
    <t>Switch de borda com uplink de 1gpbs para cartório
Conforme especificações detalhadas.
Garantia balcão (12 meses ou lifetime, conforme fabricante).</t>
  </si>
  <si>
    <t>TELTEC SOLUTIONS</t>
  </si>
  <si>
    <t>ALTITUDO COMERCIO DE PRODUTOS LTDA</t>
  </si>
  <si>
    <t>NEXA TECNOLOGIA LTDA</t>
  </si>
  <si>
    <t>WALL STREET VIDEO E TECNOLOGIA LTDA</t>
  </si>
  <si>
    <t xml:space="preserve"> 9NET, TI TELECOM E SERVICOS LTDA</t>
  </si>
  <si>
    <t>TELETEX COMPUTADORES E SISTEMAS LTDA</t>
  </si>
  <si>
    <t>2R DATATEL TELEINFORMATICA LTDA</t>
  </si>
  <si>
    <t>manchesterautomacao.com.br</t>
  </si>
  <si>
    <t>lanworks.com.br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</si>
</sst>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44" fontId="8" fillId="2" borderId="1" xfId="1" applyFont="1" applyFill="1" applyBorder="1" applyAlignment="1">
      <alignment horizontal="center" shrinkToFi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99</v>
      </c>
      <c r="C3" s="36" t="s">
        <v>7</v>
      </c>
      <c r="D3" s="36">
        <v>100</v>
      </c>
      <c r="E3" s="37">
        <f>IF(C20&lt;=25%,D20,MIN(E20:F20))</f>
        <v>73892.509999999995</v>
      </c>
      <c r="F3" s="37">
        <f>MIN(H3:H17)</f>
        <v>60619</v>
      </c>
      <c r="G3" s="5" t="s">
        <v>109</v>
      </c>
      <c r="H3" s="16">
        <v>60619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111</v>
      </c>
      <c r="H4" s="16">
        <v>80593.83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112</v>
      </c>
      <c r="H5" s="16">
        <f>(63098.33+3383+11408.83)*1.0330534</f>
        <v>80464.694614544002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11495.376637373369</v>
      </c>
      <c r="B20" s="8">
        <f>COUNT(H3:H17)</f>
        <v>3</v>
      </c>
      <c r="C20" s="9">
        <f>IF(B20&lt;2,"n/a",(A20/D20))</f>
        <v>0.15556890187345604</v>
      </c>
      <c r="D20" s="10">
        <f>IFERROR(ROUND(AVERAGE(H3:H17),2),"")</f>
        <v>73892.509999999995</v>
      </c>
      <c r="E20" s="15" t="str">
        <f>IFERROR(ROUND(IF(B20&lt;2,"n/a",(IF(C20&lt;=25%,"n/a",AVERAGE(I3:I17)))),2),"n/a")</f>
        <v>n/a</v>
      </c>
      <c r="F20" s="10">
        <f>IFERROR(ROUND(MEDIAN(H3:H17),2),"")</f>
        <v>80464.69</v>
      </c>
      <c r="G20" s="11" t="str">
        <f>IFERROR(INDEX(G3:G17,MATCH(H20,H3:H17,0)),"")</f>
        <v>TELTEC SOLUTIONS</v>
      </c>
      <c r="H20" s="12">
        <f>F3</f>
        <v>60619</v>
      </c>
    </row>
    <row r="22" spans="1:9" x14ac:dyDescent="0.25">
      <c r="G22" s="13" t="s">
        <v>20</v>
      </c>
      <c r="H22" s="14">
        <f>IF(C20&lt;=25%,D20,MIN(E20:F20))</f>
        <v>73892.509999999995</v>
      </c>
    </row>
    <row r="23" spans="1:9" x14ac:dyDescent="0.25">
      <c r="G23" s="13" t="s">
        <v>6</v>
      </c>
      <c r="H23" s="14">
        <f>ROUND(H22,2)*D3</f>
        <v>7389250.9999999991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5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 t="s">
        <v>108</v>
      </c>
      <c r="C3" s="36" t="s">
        <v>7</v>
      </c>
      <c r="D3" s="36">
        <v>250</v>
      </c>
      <c r="E3" s="37">
        <f>IF(C20&lt;=25%,D20,MIN(E20:F20))</f>
        <v>20951.78</v>
      </c>
      <c r="F3" s="37">
        <f>MIN(H3:H17)</f>
        <v>14213.56</v>
      </c>
      <c r="G3" s="5" t="s">
        <v>109</v>
      </c>
      <c r="H3" s="16">
        <v>27690</v>
      </c>
      <c r="I3" s="17">
        <f>IF(H3="","",(IF($C$20&lt;25%,"n/a",IF(H3&lt;=($D$20+$A$20),H3,"Descartado"))))</f>
        <v>27690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14213.56</v>
      </c>
      <c r="I4" s="17">
        <f t="shared" ref="I4:I17" si="0">IF(H4="","",(IF($C$20&lt;25%,"n/a",IF(H4&lt;=($D$20+$A$20),H4,"Descartado"))))</f>
        <v>14213.56</v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9529.2821102536436</v>
      </c>
      <c r="B20" s="8">
        <f>COUNT(H3:H17)</f>
        <v>2</v>
      </c>
      <c r="C20" s="9">
        <f>IF(B20&lt;2,"n/a",(A20/D20))</f>
        <v>0.45481969122688592</v>
      </c>
      <c r="D20" s="10">
        <f>IFERROR(ROUND(AVERAGE(H3:H17),2),"")</f>
        <v>20951.78</v>
      </c>
      <c r="E20" s="15">
        <f>IFERROR(ROUND(IF(B20&lt;2,"n/a",(IF(C20&lt;=25%,"n/a",AVERAGE(I3:I17)))),2),"n/a")</f>
        <v>20951.78</v>
      </c>
      <c r="F20" s="10">
        <f>IFERROR(ROUND(MEDIAN(H3:H17),2),"")</f>
        <v>20951.78</v>
      </c>
      <c r="G20" s="11" t="str">
        <f>IFERROR(INDEX(G3:G17,MATCH(H20,H3:H17,0)),"")</f>
        <v>ALTITUDO COMERCIO DE PRODUTOS LTDA</v>
      </c>
      <c r="H20" s="12">
        <f>F3</f>
        <v>14213.56</v>
      </c>
    </row>
    <row r="22" spans="1:9" x14ac:dyDescent="0.25">
      <c r="G22" s="13" t="s">
        <v>20</v>
      </c>
      <c r="H22" s="14">
        <f>IF(C20&lt;=25%,D20,MIN(E20:F20))</f>
        <v>20951.78</v>
      </c>
    </row>
    <row r="23" spans="1:9" x14ac:dyDescent="0.25">
      <c r="G23" s="13" t="s">
        <v>6</v>
      </c>
      <c r="H23" s="14">
        <f>ROUND(H22,2)*D3</f>
        <v>5237945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15</v>
      </c>
      <c r="B3" s="34" t="s">
        <v>92</v>
      </c>
      <c r="C3" s="36" t="s">
        <v>7</v>
      </c>
      <c r="D3" s="36"/>
      <c r="E3" s="37">
        <f>IF(C20&lt;=25%,D20,MIN(E20:F20))</f>
        <v>4065.18</v>
      </c>
      <c r="F3" s="37">
        <f>MIN(H3:H17)</f>
        <v>2900</v>
      </c>
      <c r="G3" s="5" t="s">
        <v>93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8"/>
      <c r="B4" s="35"/>
      <c r="C4" s="36"/>
      <c r="D4" s="36"/>
      <c r="E4" s="37"/>
      <c r="F4" s="37"/>
      <c r="G4" s="5" t="s">
        <v>94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8"/>
      <c r="B5" s="35"/>
      <c r="C5" s="36"/>
      <c r="D5" s="36"/>
      <c r="E5" s="37"/>
      <c r="F5" s="37"/>
      <c r="G5" s="5" t="s">
        <v>95</v>
      </c>
      <c r="H5" s="16">
        <v>2987.5</v>
      </c>
      <c r="I5" s="17">
        <f t="shared" si="0"/>
        <v>2987.5</v>
      </c>
    </row>
    <row r="6" spans="1:9" x14ac:dyDescent="0.25">
      <c r="A6" s="38"/>
      <c r="B6" s="35"/>
      <c r="C6" s="36"/>
      <c r="D6" s="36"/>
      <c r="E6" s="37"/>
      <c r="F6" s="37"/>
      <c r="G6" s="5" t="s">
        <v>96</v>
      </c>
      <c r="H6" s="16">
        <v>5366.52</v>
      </c>
      <c r="I6" s="17">
        <f t="shared" si="0"/>
        <v>5366.52</v>
      </c>
    </row>
    <row r="7" spans="1:9" x14ac:dyDescent="0.25">
      <c r="A7" s="38"/>
      <c r="B7" s="35"/>
      <c r="C7" s="36"/>
      <c r="D7" s="36"/>
      <c r="E7" s="37"/>
      <c r="F7" s="37"/>
      <c r="G7" s="5" t="s">
        <v>97</v>
      </c>
      <c r="H7" s="16">
        <v>5847.17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16</v>
      </c>
      <c r="B3" s="34" t="s">
        <v>55</v>
      </c>
      <c r="C3" s="36" t="s">
        <v>7</v>
      </c>
      <c r="D3" s="36">
        <v>1000</v>
      </c>
      <c r="E3" s="37">
        <f>IF(C20&lt;=25%,D20,MIN(E20:F20))</f>
        <v>4.68</v>
      </c>
      <c r="F3" s="37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8"/>
      <c r="B4" s="35"/>
      <c r="C4" s="36"/>
      <c r="D4" s="36"/>
      <c r="E4" s="37"/>
      <c r="F4" s="37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8"/>
      <c r="B5" s="35"/>
      <c r="C5" s="36"/>
      <c r="D5" s="36"/>
      <c r="E5" s="37"/>
      <c r="F5" s="37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38"/>
      <c r="B6" s="35"/>
      <c r="C6" s="36"/>
      <c r="D6" s="36"/>
      <c r="E6" s="37"/>
      <c r="F6" s="37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17</v>
      </c>
      <c r="B3" s="34" t="s">
        <v>56</v>
      </c>
      <c r="C3" s="36" t="s">
        <v>57</v>
      </c>
      <c r="D3" s="36">
        <v>100</v>
      </c>
      <c r="E3" s="37">
        <f>IF(C20&lt;=25%,D20,MIN(E20:F20))</f>
        <v>112.83</v>
      </c>
      <c r="F3" s="37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8"/>
      <c r="B5" s="35"/>
      <c r="C5" s="36"/>
      <c r="D5" s="36"/>
      <c r="E5" s="37"/>
      <c r="F5" s="37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18</v>
      </c>
      <c r="B3" s="34" t="s">
        <v>58</v>
      </c>
      <c r="C3" s="36" t="s">
        <v>59</v>
      </c>
      <c r="D3" s="36">
        <v>100</v>
      </c>
      <c r="E3" s="37">
        <f>IF(C20&lt;=25%,D20,MIN(E20:F20))</f>
        <v>83.03</v>
      </c>
      <c r="F3" s="37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8"/>
      <c r="B4" s="35"/>
      <c r="C4" s="36"/>
      <c r="D4" s="36"/>
      <c r="E4" s="37"/>
      <c r="F4" s="37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8"/>
      <c r="B5" s="35"/>
      <c r="C5" s="36"/>
      <c r="D5" s="36"/>
      <c r="E5" s="37"/>
      <c r="F5" s="37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38"/>
      <c r="B6" s="35"/>
      <c r="C6" s="36"/>
      <c r="D6" s="36"/>
      <c r="E6" s="37"/>
      <c r="F6" s="37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38"/>
      <c r="B7" s="35"/>
      <c r="C7" s="36"/>
      <c r="D7" s="36"/>
      <c r="E7" s="37"/>
      <c r="F7" s="37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19</v>
      </c>
      <c r="B3" s="34" t="s">
        <v>61</v>
      </c>
      <c r="C3" s="36" t="s">
        <v>7</v>
      </c>
      <c r="D3" s="36">
        <v>50</v>
      </c>
      <c r="E3" s="37">
        <f>IF(C20&lt;=25%,D20,MIN(E20:F20))</f>
        <v>68.7</v>
      </c>
      <c r="F3" s="37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100</v>
      </c>
      <c r="C3" s="36" t="s">
        <v>7</v>
      </c>
      <c r="D3" s="36">
        <v>100</v>
      </c>
      <c r="E3" s="37">
        <f>IF(C20&lt;=25%,D20,MIN(E20:F20))</f>
        <v>7993.37</v>
      </c>
      <c r="F3" s="37">
        <f>MIN(H3:H17)</f>
        <v>6895.33</v>
      </c>
      <c r="G3" s="5" t="s">
        <v>109</v>
      </c>
      <c r="H3" s="16">
        <v>7000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10084.790000000001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112</v>
      </c>
      <c r="H5" s="16">
        <f>6895.33</f>
        <v>6895.33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1811.9759124870557</v>
      </c>
      <c r="B20" s="8">
        <f>COUNT(H3:H17)</f>
        <v>3</v>
      </c>
      <c r="C20" s="9">
        <f>IF(B20&lt;2,"n/a",(A20/D20))</f>
        <v>0.22668485413374531</v>
      </c>
      <c r="D20" s="10">
        <f>IFERROR(ROUND(AVERAGE(H3:H17),2),"")</f>
        <v>7993.37</v>
      </c>
      <c r="E20" s="15" t="str">
        <f>IFERROR(ROUND(IF(B20&lt;2,"n/a",(IF(C20&lt;=25%,"n/a",AVERAGE(I3:I17)))),2),"n/a")</f>
        <v>n/a</v>
      </c>
      <c r="F20" s="10">
        <f>IFERROR(ROUND(MEDIAN(H3:H17),2),"")</f>
        <v>7000</v>
      </c>
      <c r="G20" s="11" t="str">
        <f>IFERROR(INDEX(G3:G17,MATCH(H20,H3:H17,0)),"")</f>
        <v>WALL STREET VIDEO E TECNOLOGIA LTDA</v>
      </c>
      <c r="H20" s="12">
        <f>F3</f>
        <v>6895.33</v>
      </c>
    </row>
    <row r="22" spans="1:9" x14ac:dyDescent="0.25">
      <c r="G22" s="13" t="s">
        <v>20</v>
      </c>
      <c r="H22" s="14">
        <f>IF(C20&lt;=25%,D20,MIN(E20:F20))</f>
        <v>7993.37</v>
      </c>
    </row>
    <row r="23" spans="1:9" x14ac:dyDescent="0.25">
      <c r="G23" s="13" t="s">
        <v>6</v>
      </c>
      <c r="H23" s="14">
        <f>ROUND(H22,2)*D3</f>
        <v>799337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20</v>
      </c>
      <c r="B3" s="34" t="s">
        <v>62</v>
      </c>
      <c r="C3" s="36" t="s">
        <v>60</v>
      </c>
      <c r="D3" s="36">
        <v>50</v>
      </c>
      <c r="E3" s="37">
        <f>IF(C20&lt;=25%,D20,MIN(E20:F20))</f>
        <v>169.47</v>
      </c>
      <c r="F3" s="37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8"/>
      <c r="B4" s="35"/>
      <c r="C4" s="36"/>
      <c r="D4" s="36"/>
      <c r="E4" s="37"/>
      <c r="F4" s="37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8"/>
      <c r="B5" s="35"/>
      <c r="C5" s="36"/>
      <c r="D5" s="36"/>
      <c r="E5" s="37"/>
      <c r="F5" s="37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21</v>
      </c>
      <c r="B3" s="34" t="s">
        <v>63</v>
      </c>
      <c r="C3" s="36" t="s">
        <v>60</v>
      </c>
      <c r="D3" s="36">
        <v>50</v>
      </c>
      <c r="E3" s="37">
        <f>IF(C20&lt;=25%,D20,MIN(E20:F20))</f>
        <v>203.92</v>
      </c>
      <c r="F3" s="37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8"/>
      <c r="B4" s="35"/>
      <c r="C4" s="36"/>
      <c r="D4" s="36"/>
      <c r="E4" s="37"/>
      <c r="F4" s="37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38"/>
      <c r="B7" s="35"/>
      <c r="C7" s="36"/>
      <c r="D7" s="36"/>
      <c r="E7" s="37"/>
      <c r="F7" s="37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22</v>
      </c>
      <c r="B3" s="34" t="s">
        <v>64</v>
      </c>
      <c r="C3" s="36" t="s">
        <v>57</v>
      </c>
      <c r="D3" s="36">
        <v>100</v>
      </c>
      <c r="E3" s="37">
        <f>IF(C20&lt;=25%,D20,MIN(E20:F20))</f>
        <v>64.989999999999995</v>
      </c>
      <c r="F3" s="37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8"/>
      <c r="B5" s="35"/>
      <c r="C5" s="36"/>
      <c r="D5" s="36"/>
      <c r="E5" s="37"/>
      <c r="F5" s="37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38"/>
      <c r="B6" s="35"/>
      <c r="C6" s="36"/>
      <c r="D6" s="36"/>
      <c r="E6" s="37"/>
      <c r="F6" s="37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38"/>
      <c r="B7" s="35"/>
      <c r="C7" s="36"/>
      <c r="D7" s="36"/>
      <c r="E7" s="37"/>
      <c r="F7" s="37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 t="s">
        <v>34</v>
      </c>
      <c r="C3" s="36" t="s">
        <v>7</v>
      </c>
      <c r="D3" s="36">
        <v>4</v>
      </c>
      <c r="E3" s="37">
        <f>IF(C20&lt;=25%,D20,MIN(E20:F20))</f>
        <v>314.5</v>
      </c>
      <c r="F3" s="37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8"/>
      <c r="B5" s="35"/>
      <c r="C5" s="36"/>
      <c r="D5" s="36"/>
      <c r="E5" s="37"/>
      <c r="F5" s="37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38"/>
      <c r="B6" s="35"/>
      <c r="C6" s="36"/>
      <c r="D6" s="36"/>
      <c r="E6" s="37"/>
      <c r="F6" s="37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38"/>
      <c r="B7" s="35"/>
      <c r="C7" s="36"/>
      <c r="D7" s="36"/>
      <c r="E7" s="37"/>
      <c r="F7" s="37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38"/>
      <c r="B8" s="35"/>
      <c r="C8" s="36"/>
      <c r="D8" s="36"/>
      <c r="E8" s="37"/>
      <c r="F8" s="37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38"/>
      <c r="B9" s="35"/>
      <c r="C9" s="36"/>
      <c r="D9" s="36"/>
      <c r="E9" s="37"/>
      <c r="F9" s="37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38"/>
      <c r="B10" s="35"/>
      <c r="C10" s="36"/>
      <c r="D10" s="36"/>
      <c r="E10" s="37"/>
      <c r="F10" s="37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38"/>
      <c r="B13" s="35"/>
      <c r="C13" s="36"/>
      <c r="D13" s="36"/>
      <c r="E13" s="37"/>
      <c r="F13" s="37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38"/>
      <c r="B14" s="35"/>
      <c r="C14" s="36"/>
      <c r="D14" s="36"/>
      <c r="E14" s="37"/>
      <c r="F14" s="37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 t="s">
        <v>35</v>
      </c>
      <c r="C3" s="36" t="s">
        <v>7</v>
      </c>
      <c r="D3" s="36">
        <v>2</v>
      </c>
      <c r="E3" s="37">
        <f>IF(C20&lt;=25%,D20,MIN(E20:F20))</f>
        <v>2336.66</v>
      </c>
      <c r="F3" s="37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8"/>
      <c r="B4" s="35"/>
      <c r="C4" s="36"/>
      <c r="D4" s="36"/>
      <c r="E4" s="37"/>
      <c r="F4" s="37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8"/>
      <c r="B5" s="35"/>
      <c r="C5" s="36"/>
      <c r="D5" s="36"/>
      <c r="E5" s="37"/>
      <c r="F5" s="37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38"/>
      <c r="B7" s="35"/>
      <c r="C7" s="36"/>
      <c r="D7" s="36"/>
      <c r="E7" s="37"/>
      <c r="F7" s="37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38"/>
      <c r="B8" s="35"/>
      <c r="C8" s="36"/>
      <c r="D8" s="36"/>
      <c r="E8" s="37"/>
      <c r="F8" s="37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38"/>
      <c r="B9" s="35"/>
      <c r="C9" s="36"/>
      <c r="D9" s="36"/>
      <c r="E9" s="37"/>
      <c r="F9" s="37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38"/>
      <c r="B10" s="35"/>
      <c r="C10" s="36"/>
      <c r="D10" s="36"/>
      <c r="E10" s="37"/>
      <c r="F10" s="37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38"/>
      <c r="B11" s="35"/>
      <c r="C11" s="36"/>
      <c r="D11" s="36"/>
      <c r="E11" s="37"/>
      <c r="F11" s="37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activeCell="C3" sqref="C3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9" t="s">
        <v>0</v>
      </c>
      <c r="B1" s="39"/>
      <c r="C1" s="39"/>
      <c r="D1" s="39"/>
      <c r="E1" s="39"/>
      <c r="F1" s="39"/>
      <c r="G1" s="39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195" x14ac:dyDescent="0.25">
      <c r="A3" s="24">
        <v>1</v>
      </c>
      <c r="B3" s="24">
        <f>Item1!A3</f>
        <v>1</v>
      </c>
      <c r="C3" s="26" t="str">
        <f>Item1!B3</f>
        <v>Switch de borda com uplink duplo de 10gbps e acessórios.
Switch acesso 48 portas com parcial PoE+ e Up Link de 10G
Modelo: C9200L-48PL-4X-E, CON-L1NBD-C9200XXE,
CON-L1SWT-C92LE48, C9200L-DNA-E-48-3Y, C9200L-STACK-KIT
48 Portas ethernet com parcial PoE+
Up Link SFP 10G
Licenciamento Essentials
Suporte e garantia Cisco Smartnet 60 meses</v>
      </c>
      <c r="D3" s="24" t="str">
        <f>Item1!C3</f>
        <v>unidade</v>
      </c>
      <c r="E3" s="24">
        <f>Item1!D3</f>
        <v>100</v>
      </c>
      <c r="F3" s="25">
        <f>Item1!E3</f>
        <v>73892.509999999995</v>
      </c>
      <c r="G3" s="25">
        <f>ROUND((E3*F3),2)</f>
        <v>7389251</v>
      </c>
    </row>
    <row r="4" spans="1:7" ht="180" x14ac:dyDescent="0.25">
      <c r="A4" s="24">
        <v>1</v>
      </c>
      <c r="B4" s="24">
        <f>Item2!A3</f>
        <v>2</v>
      </c>
      <c r="C4" s="26" t="str">
        <f>Item2!B3</f>
        <v>Access point tipo wifi 6.
Ponto de Acesso - Cisco Catalyst 9105
Modelo: C9105AXI-Z, CON-L1NBD-C9105AXI, CON-L1SWT-AIRDNAE, AIR-DNA-E-5Y Wi-Fi 6E
Quatro rádios: 2,4GHz (2x2), 5GHz (2x2), 6GHz (2x2)
Suporte OFDMA e MU-MIMO
Licenças Cisco DNA Essentials subscrição período 60 meses
Incluindo: Kit de montagem e garantia CISCO Smartnet de 60 meses</v>
      </c>
      <c r="D4" s="24" t="str">
        <f>Item2!C3</f>
        <v>unidade</v>
      </c>
      <c r="E4" s="24">
        <f>Item2!D3</f>
        <v>100</v>
      </c>
      <c r="F4" s="25">
        <f>Item2!E3</f>
        <v>7993.37</v>
      </c>
      <c r="G4" s="25">
        <f t="shared" ref="G4:G12" si="0">ROUND((E4*F4),2)</f>
        <v>799337</v>
      </c>
    </row>
    <row r="5" spans="1:7" ht="180" x14ac:dyDescent="0.25">
      <c r="A5" s="24">
        <v>1</v>
      </c>
      <c r="B5" s="24">
        <f>Item3!A3</f>
        <v>3</v>
      </c>
      <c r="C5" s="26" t="str">
        <f>Item3!B3</f>
        <v>Controladora para 100 access points licenciada.
Controladora Wireless Cisco Catalyst 9800 (Virtual)
Modelo: Cisco 9800-CL, CON-L1SW-C9800CLC
Incluindo: CX LEVEL 1 SW Cisco Catalyst 9800.
Licenciada para 100 access points (item 2).
Suporte e garantia Cisco Smartnet 60 meses.</v>
      </c>
      <c r="D5" s="24" t="str">
        <f>Item3!C3</f>
        <v>unidade</v>
      </c>
      <c r="E5" s="24">
        <f>Item3!D3</f>
        <v>2</v>
      </c>
      <c r="F5" s="25">
        <f>Item3!E3</f>
        <v>20513.830000000002</v>
      </c>
      <c r="G5" s="25">
        <f t="shared" si="0"/>
        <v>41027.660000000003</v>
      </c>
    </row>
    <row r="6" spans="1:7" ht="90" x14ac:dyDescent="0.25">
      <c r="A6" s="24">
        <v>1</v>
      </c>
      <c r="B6" s="24">
        <f>Item4!A3</f>
        <v>4</v>
      </c>
      <c r="C6" s="26" t="str">
        <f>Item4!B3</f>
        <v>Acessório.
SFP MONOMODO 10G
Modelo: SFP-10G-LR-S
10GBASE-LR 1310nm SMF
Suporte e garantia Cisco Smartnet 60 meses</v>
      </c>
      <c r="D6" s="24" t="str">
        <f>Item4!C3</f>
        <v>unidade</v>
      </c>
      <c r="E6" s="24">
        <f>Item4!D3</f>
        <v>120</v>
      </c>
      <c r="F6" s="25">
        <f>Item4!E3</f>
        <v>8418.25</v>
      </c>
      <c r="G6" s="25">
        <f t="shared" si="0"/>
        <v>1010190</v>
      </c>
    </row>
    <row r="7" spans="1:7" ht="90" x14ac:dyDescent="0.25">
      <c r="A7" s="24">
        <v>1</v>
      </c>
      <c r="B7" s="24">
        <f>Item5!A3</f>
        <v>5</v>
      </c>
      <c r="C7" s="26" t="str">
        <f>Item5!B3</f>
        <v>Acessório.
SFP MULTIMODO 10G
Modelo: SFP-10G-SR-S
10GBASE-SR 850nm MMF
Suporte e garantia Cisco Smartnet 60 meses</v>
      </c>
      <c r="D7" s="24" t="str">
        <f>Item5!C3</f>
        <v>unidade</v>
      </c>
      <c r="E7" s="24">
        <f>Item5!D3</f>
        <v>50</v>
      </c>
      <c r="F7" s="25">
        <f>Item5!E3</f>
        <v>3953.21</v>
      </c>
      <c r="G7" s="25">
        <f t="shared" si="0"/>
        <v>197660.5</v>
      </c>
    </row>
    <row r="8" spans="1:7" ht="90" x14ac:dyDescent="0.25">
      <c r="A8" s="24">
        <v>1</v>
      </c>
      <c r="B8" s="24">
        <f>Item6!A3</f>
        <v>6</v>
      </c>
      <c r="C8" s="26" t="str">
        <f>Item6!B3</f>
        <v>Acessório.
SFP MONOMODO 40G
Modelo: QSFP-40G-LR-S
10GBASE-LR 1310nm SMF
Suporte e garantia Cisco Smartnet 60 meses</v>
      </c>
      <c r="D8" s="24" t="str">
        <f>Item6!C3</f>
        <v>unidade</v>
      </c>
      <c r="E8" s="24">
        <f>Item6!D3</f>
        <v>20</v>
      </c>
      <c r="F8" s="25">
        <f>Item6!E3</f>
        <v>47820</v>
      </c>
      <c r="G8" s="25">
        <f t="shared" si="0"/>
        <v>956400</v>
      </c>
    </row>
    <row r="9" spans="1:7" ht="90" x14ac:dyDescent="0.25">
      <c r="A9" s="24">
        <v>1</v>
      </c>
      <c r="B9" s="24">
        <f>Item7!A3</f>
        <v>7</v>
      </c>
      <c r="C9" s="26" t="str">
        <f>Item7!B3</f>
        <v>Acessório.
SFP MULTIMODO 40G
Modelo: QSFP-40G-SR4-S
10GBASE-LR 850nm MMF
Suporte e garantia Cisco Smartnet 60 meses</v>
      </c>
      <c r="D9" s="24" t="str">
        <f>Item7!C3</f>
        <v>unidade</v>
      </c>
      <c r="E9" s="24">
        <f>Item7!D3</f>
        <v>20</v>
      </c>
      <c r="F9" s="25">
        <f>Item7!E3</f>
        <v>7420</v>
      </c>
      <c r="G9" s="25">
        <f t="shared" si="0"/>
        <v>148400</v>
      </c>
    </row>
    <row r="10" spans="1:7" ht="60" x14ac:dyDescent="0.25">
      <c r="A10" s="24">
        <v>1</v>
      </c>
      <c r="B10" s="24">
        <f>Item8!A3</f>
        <v>8</v>
      </c>
      <c r="C10" s="26" t="str">
        <f>Item8!B3</f>
        <v>Acessório.
Cabo Stack
Modelo: STACK-T1-1M=, 1M Type 1 Stacking Cable</v>
      </c>
      <c r="D10" s="24" t="str">
        <f>Item8!C3</f>
        <v>unidade</v>
      </c>
      <c r="E10" s="24">
        <f>Item8!D3</f>
        <v>20</v>
      </c>
      <c r="F10" s="25">
        <f>Item8!E3</f>
        <v>1137.3699999999999</v>
      </c>
      <c r="G10" s="25">
        <f t="shared" si="0"/>
        <v>22747.4</v>
      </c>
    </row>
    <row r="11" spans="1:7" ht="60" x14ac:dyDescent="0.25">
      <c r="A11" s="24">
        <v>1</v>
      </c>
      <c r="B11" s="24">
        <f>Item9!A3</f>
        <v>9</v>
      </c>
      <c r="C11" s="26" t="str">
        <f>Item9!B3</f>
        <v>Treinamento contínuo auto instrucional.
CISCO U Essentials.
Modelo: CSCU-ESSENTIALS-028769
Duração: 12 meses</v>
      </c>
      <c r="D11" s="24" t="str">
        <f>Item9!C3</f>
        <v>unidade</v>
      </c>
      <c r="E11" s="24">
        <f>Item9!D3</f>
        <v>2</v>
      </c>
      <c r="F11" s="25">
        <f>Item9!E3</f>
        <v>14500</v>
      </c>
      <c r="G11" s="25">
        <f t="shared" si="0"/>
        <v>29000</v>
      </c>
    </row>
    <row r="12" spans="1:7" ht="75" x14ac:dyDescent="0.25">
      <c r="A12" s="24" t="s">
        <v>98</v>
      </c>
      <c r="B12" s="24">
        <f>Item10!A3</f>
        <v>10</v>
      </c>
      <c r="C12" s="26" t="str">
        <f>Item10!B3</f>
        <v>Switch de borda com uplink de 1gpbs para cartório
Conforme especificações detalhadas.
Garantia balcão (12 meses ou lifetime, conforme fabricante).</v>
      </c>
      <c r="D12" s="24" t="str">
        <f>Item10!C3</f>
        <v>unidade</v>
      </c>
      <c r="E12" s="24">
        <f>Item10!D3</f>
        <v>250</v>
      </c>
      <c r="F12" s="25">
        <f>Item10!E3</f>
        <v>20951.78</v>
      </c>
      <c r="G12" s="25">
        <f t="shared" si="0"/>
        <v>5237945</v>
      </c>
    </row>
    <row r="13" spans="1:7" x14ac:dyDescent="0.25">
      <c r="A13" s="27"/>
      <c r="B13" s="27"/>
      <c r="C13" s="28"/>
      <c r="D13" s="29"/>
      <c r="E13" s="29"/>
      <c r="F13" s="30"/>
      <c r="G13" s="30"/>
    </row>
    <row r="14" spans="1:7" ht="15.75" thickBot="1" x14ac:dyDescent="0.3"/>
    <row r="15" spans="1:7" ht="16.5" thickTop="1" thickBot="1" x14ac:dyDescent="0.3">
      <c r="D15" s="21"/>
      <c r="E15" s="22" t="s">
        <v>33</v>
      </c>
      <c r="F15" s="23">
        <f>SUM(G:G)</f>
        <v>15831958.560000001</v>
      </c>
    </row>
    <row r="16" spans="1:7" ht="15.75" thickTop="1" x14ac:dyDescent="0.25">
      <c r="F16" s="3"/>
    </row>
    <row r="17" spans="4:6" x14ac:dyDescent="0.25">
      <c r="D17" s="20" t="s">
        <v>32</v>
      </c>
      <c r="E17" s="13">
        <f>MAX(A:A)</f>
        <v>1</v>
      </c>
    </row>
    <row r="19" spans="4:6" x14ac:dyDescent="0.25">
      <c r="D19" s="18" t="s">
        <v>31</v>
      </c>
      <c r="E19" s="19">
        <v>1</v>
      </c>
      <c r="F19" s="31">
        <f>SUMIF(A:A,E19,G:G)</f>
        <v>10594013.560000001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4" sqref="H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101</v>
      </c>
      <c r="C3" s="36" t="s">
        <v>7</v>
      </c>
      <c r="D3" s="36">
        <v>2</v>
      </c>
      <c r="E3" s="37">
        <f>IF(C20&lt;=25%,D20,MIN(E20:F20))</f>
        <v>20513.830000000002</v>
      </c>
      <c r="F3" s="37">
        <f>MIN(H3:H17)</f>
        <v>18000</v>
      </c>
      <c r="G3" s="5" t="s">
        <v>109</v>
      </c>
      <c r="H3" s="16">
        <v>20900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23881.31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113</v>
      </c>
      <c r="H5" s="16">
        <v>19274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114</v>
      </c>
      <c r="H6" s="16">
        <v>18000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2539.3941874047637</v>
      </c>
      <c r="B20" s="8">
        <f>COUNT(H3:H17)</f>
        <v>4</v>
      </c>
      <c r="C20" s="9">
        <f>IF(B20&lt;2,"n/a",(A20/D20))</f>
        <v>0.12378937465138219</v>
      </c>
      <c r="D20" s="10">
        <f>IFERROR(ROUND(AVERAGE(H3:H17),2),"")</f>
        <v>20513.830000000002</v>
      </c>
      <c r="E20" s="15" t="str">
        <f>IFERROR(ROUND(IF(B20&lt;2,"n/a",(IF(C20&lt;=25%,"n/a",AVERAGE(I3:I17)))),2),"n/a")</f>
        <v>n/a</v>
      </c>
      <c r="F20" s="10">
        <f>IFERROR(ROUND(MEDIAN(H3:H17),2),"")</f>
        <v>20087</v>
      </c>
      <c r="G20" s="11" t="str">
        <f>IFERROR(INDEX(G3:G17,MATCH(H20,H3:H17,0)),"")</f>
        <v>TELETEX COMPUTADORES E SISTEMAS LTDA</v>
      </c>
      <c r="H20" s="12">
        <f>F3</f>
        <v>18000</v>
      </c>
    </row>
    <row r="22" spans="1:9" x14ac:dyDescent="0.25">
      <c r="G22" s="13" t="s">
        <v>20</v>
      </c>
      <c r="H22" s="14">
        <f>IF(C20&lt;=25%,D20,MIN(E20:F20))</f>
        <v>20513.830000000002</v>
      </c>
    </row>
    <row r="23" spans="1:9" x14ac:dyDescent="0.25">
      <c r="G23" s="13" t="s">
        <v>6</v>
      </c>
      <c r="H23" s="14">
        <f>ROUND(H22,2)*D3</f>
        <v>41027.660000000003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102</v>
      </c>
      <c r="C3" s="36" t="s">
        <v>7</v>
      </c>
      <c r="D3" s="36">
        <v>120</v>
      </c>
      <c r="E3" s="37">
        <f>IF(C20&lt;=25%,D20,MIN(E20:F20))</f>
        <v>8418.25</v>
      </c>
      <c r="F3" s="37">
        <f>MIN(H3:H17)</f>
        <v>7720.5039238319996</v>
      </c>
      <c r="G3" s="5" t="s">
        <v>109</v>
      </c>
      <c r="H3" s="16">
        <v>9116</v>
      </c>
      <c r="I3" s="17">
        <f>IF(H3="","",(IF($C$20&lt;25%,"n/a",IF(H3&lt;=($D$20+$A$20),H3,"Descartado"))))</f>
        <v>9116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15296.4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112</v>
      </c>
      <c r="H5" s="16">
        <f>7473.48*1.0330534</f>
        <v>7720.5039238319996</v>
      </c>
      <c r="I5" s="17">
        <f t="shared" si="0"/>
        <v>7720.5039238319996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4031.9340854296756</v>
      </c>
      <c r="B20" s="8">
        <f>COUNT(H3:H17)</f>
        <v>3</v>
      </c>
      <c r="C20" s="9">
        <f>IF(B20&lt;2,"n/a",(A20/D20))</f>
        <v>0.37643034061617908</v>
      </c>
      <c r="D20" s="10">
        <f>IFERROR(ROUND(AVERAGE(H3:H17),2),"")</f>
        <v>10710.97</v>
      </c>
      <c r="E20" s="15">
        <f>IFERROR(ROUND(IF(B20&lt;2,"n/a",(IF(C20&lt;=25%,"n/a",AVERAGE(I3:I17)))),2),"n/a")</f>
        <v>8418.25</v>
      </c>
      <c r="F20" s="10">
        <f>IFERROR(ROUND(MEDIAN(H3:H17),2),"")</f>
        <v>9116</v>
      </c>
      <c r="G20" s="11" t="str">
        <f>IFERROR(INDEX(G3:G17,MATCH(H20,H3:H17,0)),"")</f>
        <v>WALL STREET VIDEO E TECNOLOGIA LTDA</v>
      </c>
      <c r="H20" s="12">
        <f>F3</f>
        <v>7720.5039238319996</v>
      </c>
    </row>
    <row r="22" spans="1:9" x14ac:dyDescent="0.25">
      <c r="G22" s="13" t="s">
        <v>20</v>
      </c>
      <c r="H22" s="14">
        <f>IF(C20&lt;=25%,D20,MIN(E20:F20))</f>
        <v>8418.25</v>
      </c>
    </row>
    <row r="23" spans="1:9" x14ac:dyDescent="0.25">
      <c r="G23" s="13" t="s">
        <v>6</v>
      </c>
      <c r="H23" s="14">
        <f>ROUND(H22,2)*D3</f>
        <v>1010190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:H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103</v>
      </c>
      <c r="C3" s="36" t="s">
        <v>7</v>
      </c>
      <c r="D3" s="36">
        <v>50</v>
      </c>
      <c r="E3" s="37">
        <f>IF(C20&lt;=25%,D20,MIN(E20:F20))</f>
        <v>3953.21</v>
      </c>
      <c r="F3" s="37">
        <f>MIN(H3:H17)</f>
        <v>3192</v>
      </c>
      <c r="G3" s="5" t="s">
        <v>109</v>
      </c>
      <c r="H3" s="16">
        <v>3192</v>
      </c>
      <c r="I3" s="17">
        <f>IF(H3="","",(IF($C$20&lt;25%,"n/a",IF(H3&lt;=($D$20+$A$20),H3,"Descartado"))))</f>
        <v>3192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6256.15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112</v>
      </c>
      <c r="H5" s="16">
        <f>4324.67*1.0330534</f>
        <v>4467.6150473779999</v>
      </c>
      <c r="I5" s="17">
        <f t="shared" si="0"/>
        <v>4467.6150473779999</v>
      </c>
    </row>
    <row r="6" spans="1:9" x14ac:dyDescent="0.25">
      <c r="A6" s="38"/>
      <c r="B6" s="35"/>
      <c r="C6" s="36"/>
      <c r="D6" s="36"/>
      <c r="E6" s="37"/>
      <c r="F6" s="37"/>
      <c r="G6" s="5" t="s">
        <v>115</v>
      </c>
      <c r="H6" s="16">
        <v>4200</v>
      </c>
      <c r="I6" s="17">
        <f t="shared" si="0"/>
        <v>4200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1275.7514414529326</v>
      </c>
      <c r="B20" s="8">
        <f>COUNT(H3:H17)</f>
        <v>4</v>
      </c>
      <c r="C20" s="9">
        <f>IF(B20&lt;2,"n/a",(A20/D20))</f>
        <v>0.2816887486813543</v>
      </c>
      <c r="D20" s="10">
        <f>IFERROR(ROUND(AVERAGE(H3:H17),2),"")</f>
        <v>4528.9399999999996</v>
      </c>
      <c r="E20" s="15">
        <f>IFERROR(ROUND(IF(B20&lt;2,"n/a",(IF(C20&lt;=25%,"n/a",AVERAGE(I3:I17)))),2),"n/a")</f>
        <v>3953.21</v>
      </c>
      <c r="F20" s="10">
        <f>IFERROR(ROUND(MEDIAN(H3:H17),2),"")</f>
        <v>4333.8100000000004</v>
      </c>
      <c r="G20" s="11" t="str">
        <f>IFERROR(INDEX(G3:G17,MATCH(H20,H3:H17,0)),"")</f>
        <v>TELTEC SOLUTIONS</v>
      </c>
      <c r="H20" s="12">
        <f>F3</f>
        <v>3192</v>
      </c>
    </row>
    <row r="22" spans="1:9" x14ac:dyDescent="0.25">
      <c r="G22" s="13" t="s">
        <v>20</v>
      </c>
      <c r="H22" s="14">
        <f>IF(C20&lt;=25%,D20,MIN(E20:F20))</f>
        <v>3953.21</v>
      </c>
    </row>
    <row r="23" spans="1:9" x14ac:dyDescent="0.25">
      <c r="G23" s="13" t="s">
        <v>6</v>
      </c>
      <c r="H23" s="14">
        <f>ROUND(H22,2)*D3</f>
        <v>197660.5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:H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104</v>
      </c>
      <c r="C3" s="36" t="s">
        <v>7</v>
      </c>
      <c r="D3" s="36">
        <v>20</v>
      </c>
      <c r="E3" s="37">
        <f>IF(C20&lt;=25%,D20,MIN(E20:F20))</f>
        <v>47820</v>
      </c>
      <c r="F3" s="37">
        <f>MIN(H3:H17)</f>
        <v>47820</v>
      </c>
      <c r="G3" s="5" t="s">
        <v>109</v>
      </c>
      <c r="H3" s="16">
        <v>47820</v>
      </c>
      <c r="I3" s="17" t="e">
        <f>IF(H3="","",(IF($C$20&lt;25%,"n/a",IF(H3&lt;=($D$20+$A$20),H3,"Descartado"))))</f>
        <v>#VALUE!</v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1</v>
      </c>
      <c r="C20" s="9" t="str">
        <f>IF(B20&lt;2,"n/a",(A20/D20))</f>
        <v>n/a</v>
      </c>
      <c r="D20" s="10">
        <f>IFERROR(ROUND(AVERAGE(H3:H17),2),"")</f>
        <v>47820</v>
      </c>
      <c r="E20" s="15" t="str">
        <f>IFERROR(ROUND(IF(B20&lt;2,"n/a",(IF(C20&lt;=25%,"n/a",AVERAGE(I3:I17)))),2),"n/a")</f>
        <v>n/a</v>
      </c>
      <c r="F20" s="10">
        <f>IFERROR(ROUND(MEDIAN(H3:H17),2),"")</f>
        <v>47820</v>
      </c>
      <c r="G20" s="11" t="str">
        <f>IFERROR(INDEX(G3:G17,MATCH(H20,H3:H17,0)),"")</f>
        <v>TELTEC SOLUTIONS</v>
      </c>
      <c r="H20" s="12">
        <f>F3</f>
        <v>47820</v>
      </c>
    </row>
    <row r="22" spans="1:9" x14ac:dyDescent="0.25">
      <c r="G22" s="13" t="s">
        <v>20</v>
      </c>
      <c r="H22" s="14">
        <f>IF(C20&lt;=25%,D20,MIN(E20:F20))</f>
        <v>47820</v>
      </c>
    </row>
    <row r="23" spans="1:9" x14ac:dyDescent="0.25">
      <c r="G23" s="13" t="s">
        <v>6</v>
      </c>
      <c r="H23" s="14">
        <f>ROUND(H22,2)*D3</f>
        <v>956400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5" sqref="G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105</v>
      </c>
      <c r="C3" s="36" t="s">
        <v>7</v>
      </c>
      <c r="D3" s="36">
        <v>20</v>
      </c>
      <c r="E3" s="37">
        <f>IF(C20&lt;=25%,D20,MIN(E20:F20))</f>
        <v>7420</v>
      </c>
      <c r="F3" s="37">
        <f>MIN(H3:H17)</f>
        <v>7420</v>
      </c>
      <c r="G3" s="5" t="s">
        <v>109</v>
      </c>
      <c r="H3" s="16">
        <v>7420</v>
      </c>
      <c r="I3" s="17" t="e">
        <f>IF(H3="","",(IF($C$20&lt;25%,"n/a",IF(H3&lt;=($D$20+$A$20),H3,"Descartado"))))</f>
        <v>#VALUE!</v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1</v>
      </c>
      <c r="C20" s="9" t="str">
        <f>IF(B20&lt;2,"n/a",(A20/D20))</f>
        <v>n/a</v>
      </c>
      <c r="D20" s="10">
        <f>IFERROR(ROUND(AVERAGE(H3:H17),2),"")</f>
        <v>7420</v>
      </c>
      <c r="E20" s="15" t="str">
        <f>IFERROR(ROUND(IF(B20&lt;2,"n/a",(IF(C20&lt;=25%,"n/a",AVERAGE(I3:I17)))),2),"n/a")</f>
        <v>n/a</v>
      </c>
      <c r="F20" s="10">
        <f>IFERROR(ROUND(MEDIAN(H3:H17),2),"")</f>
        <v>7420</v>
      </c>
      <c r="G20" s="11" t="str">
        <f>IFERROR(INDEX(G3:G17,MATCH(H20,H3:H17,0)),"")</f>
        <v>TELTEC SOLUTIONS</v>
      </c>
      <c r="H20" s="12">
        <f>F3</f>
        <v>7420</v>
      </c>
    </row>
    <row r="22" spans="1:9" x14ac:dyDescent="0.25">
      <c r="G22" s="13" t="s">
        <v>20</v>
      </c>
      <c r="H22" s="14">
        <f>IF(C20&lt;=25%,D20,MIN(E20:F20))</f>
        <v>7420</v>
      </c>
    </row>
    <row r="23" spans="1:9" x14ac:dyDescent="0.25">
      <c r="G23" s="13" t="s">
        <v>6</v>
      </c>
      <c r="H23" s="14">
        <f>ROUND(H22,2)*D3</f>
        <v>148400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 t="s">
        <v>106</v>
      </c>
      <c r="C3" s="36" t="s">
        <v>7</v>
      </c>
      <c r="D3" s="36">
        <v>20</v>
      </c>
      <c r="E3" s="37">
        <f>IF(C20&lt;=25%,D20,MIN(E20:F20))</f>
        <v>1137.3699999999999</v>
      </c>
      <c r="F3" s="37">
        <f>MIN(H3:H17)</f>
        <v>1070.0999999999999</v>
      </c>
      <c r="G3" s="5" t="s">
        <v>109</v>
      </c>
      <c r="H3" s="16">
        <v>1250</v>
      </c>
      <c r="I3" s="17">
        <f>IF(H3="","",(IF($C$20&lt;25%,"n/a",IF(H3&lt;=($D$20+$A$20),H3,"Descartado"))))</f>
        <v>1250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3343.2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116</v>
      </c>
      <c r="H5" s="16">
        <v>1070.0999999999999</v>
      </c>
      <c r="I5" s="17">
        <f t="shared" si="0"/>
        <v>1070.0999999999999</v>
      </c>
    </row>
    <row r="6" spans="1:9" x14ac:dyDescent="0.25">
      <c r="A6" s="38"/>
      <c r="B6" s="35"/>
      <c r="C6" s="36"/>
      <c r="D6" s="36"/>
      <c r="E6" s="37"/>
      <c r="F6" s="37"/>
      <c r="G6" s="5" t="s">
        <v>117</v>
      </c>
      <c r="H6" s="16">
        <v>1092</v>
      </c>
      <c r="I6" s="17">
        <f t="shared" si="0"/>
        <v>1092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1105.8246888634746</v>
      </c>
      <c r="B20" s="8">
        <f>COUNT(H3:H17)</f>
        <v>4</v>
      </c>
      <c r="C20" s="9">
        <f>IF(B20&lt;2,"n/a",(A20/D20))</f>
        <v>0.65478744981050474</v>
      </c>
      <c r="D20" s="10">
        <f>IFERROR(ROUND(AVERAGE(H3:H17),2),"")</f>
        <v>1688.83</v>
      </c>
      <c r="E20" s="15">
        <f>IFERROR(ROUND(IF(B20&lt;2,"n/a",(IF(C20&lt;=25%,"n/a",AVERAGE(I3:I17)))),2),"n/a")</f>
        <v>1137.3699999999999</v>
      </c>
      <c r="F20" s="10">
        <f>IFERROR(ROUND(MEDIAN(H3:H17),2),"")</f>
        <v>1171</v>
      </c>
      <c r="G20" s="11" t="str">
        <f>IFERROR(INDEX(G3:G17,MATCH(H20,H3:H17,0)),"")</f>
        <v>manchesterautomacao.com.br</v>
      </c>
      <c r="H20" s="12">
        <f>F3</f>
        <v>1070.0999999999999</v>
      </c>
    </row>
    <row r="22" spans="1:9" x14ac:dyDescent="0.25">
      <c r="G22" s="13" t="s">
        <v>20</v>
      </c>
      <c r="H22" s="14">
        <f>IF(C20&lt;=25%,D20,MIN(E20:F20))</f>
        <v>1137.3699999999999</v>
      </c>
    </row>
    <row r="23" spans="1:9" x14ac:dyDescent="0.25">
      <c r="G23" s="13" t="s">
        <v>6</v>
      </c>
      <c r="H23" s="14">
        <f>ROUND(H22,2)*D3</f>
        <v>22747.399999999998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5" sqref="G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 t="s">
        <v>107</v>
      </c>
      <c r="C3" s="36" t="s">
        <v>7</v>
      </c>
      <c r="D3" s="36">
        <v>2</v>
      </c>
      <c r="E3" s="37">
        <f>IF(C20&lt;=25%,D20,MIN(E20:F20))</f>
        <v>14500</v>
      </c>
      <c r="F3" s="37">
        <f>MIN(H3:H17)</f>
        <v>14500</v>
      </c>
      <c r="G3" s="5" t="s">
        <v>109</v>
      </c>
      <c r="H3" s="16">
        <v>14500</v>
      </c>
      <c r="I3" s="17" t="e">
        <f>IF(H3="","",(IF($C$20&lt;25%,"n/a",IF(H3&lt;=($D$20+$A$20),H3,"Descartado"))))</f>
        <v>#VALUE!</v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1</v>
      </c>
      <c r="C20" s="9" t="str">
        <f>IF(B20&lt;2,"n/a",(A20/D20))</f>
        <v>n/a</v>
      </c>
      <c r="D20" s="10">
        <f>IFERROR(ROUND(AVERAGE(H3:H17),2),"")</f>
        <v>14500</v>
      </c>
      <c r="E20" s="15" t="str">
        <f>IFERROR(ROUND(IF(B20&lt;2,"n/a",(IF(C20&lt;=25%,"n/a",AVERAGE(I3:I17)))),2),"n/a")</f>
        <v>n/a</v>
      </c>
      <c r="F20" s="10">
        <f>IFERROR(ROUND(MEDIAN(H3:H17),2),"")</f>
        <v>14500</v>
      </c>
      <c r="G20" s="11" t="str">
        <f>IFERROR(INDEX(G3:G17,MATCH(H20,H3:H17,0)),"")</f>
        <v>TELTEC SOLUTIONS</v>
      </c>
      <c r="H20" s="12">
        <f>F3</f>
        <v>14500</v>
      </c>
    </row>
    <row r="22" spans="1:9" x14ac:dyDescent="0.25">
      <c r="G22" s="13" t="s">
        <v>20</v>
      </c>
      <c r="H22" s="14">
        <f>IF(C20&lt;=25%,D20,MIN(E20:F20))</f>
        <v>14500</v>
      </c>
    </row>
    <row r="23" spans="1:9" x14ac:dyDescent="0.25">
      <c r="G23" s="13" t="s">
        <v>6</v>
      </c>
      <c r="H23" s="14">
        <f>ROUND(H22,2)*D3</f>
        <v>29000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5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</vt:i4>
      </vt:variant>
    </vt:vector>
  </HeadingPairs>
  <TitlesOfParts>
    <vt:vector size="3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2024-10-30T14:50:17Z</cp:lastPrinted>
  <dcterms:created xsi:type="dcterms:W3CDTF">2023-11-07T17:10:34Z</dcterms:created>
  <dcterms:modified xsi:type="dcterms:W3CDTF">2024-10-30T14:50:40Z</dcterms:modified>
</cp:coreProperties>
</file>