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assrotadm" sheetId="1" r:id="rId1"/>
    <sheet name="auxadm1" sheetId="2" r:id="rId2"/>
    <sheet name="auxadm2" sheetId="3" r:id="rId3"/>
    <sheet name="auxadm3" sheetId="4" r:id="rId4"/>
    <sheet name="gerser" sheetId="5" r:id="rId5"/>
    <sheet name="subgerser" sheetId="6" r:id="rId6"/>
    <sheet name="estat" sheetId="7" r:id="rId7"/>
    <sheet name="anehextra" sheetId="12" r:id="rId8"/>
    <sheet name="aehextra" sheetId="14" r:id="rId9"/>
    <sheet name="total" sheetId="13" r:id="rId10"/>
  </sheets>
  <definedNames>
    <definedName name="_xlnm.Print_Titles" localSheetId="8">aehextra!$1:$2</definedName>
    <definedName name="_xlnm.Print_Titles" localSheetId="7">anehextra!$1:$2</definedName>
  </definedNames>
  <calcPr calcId="145621"/>
</workbook>
</file>

<file path=xl/calcChain.xml><?xml version="1.0" encoding="utf-8"?>
<calcChain xmlns="http://schemas.openxmlformats.org/spreadsheetml/2006/main">
  <c r="B17" i="13" l="1"/>
  <c r="D11" i="13"/>
  <c r="B11" i="13"/>
  <c r="O46" i="14"/>
  <c r="M46" i="14"/>
  <c r="L46" i="14"/>
  <c r="K46" i="14"/>
  <c r="I46" i="14"/>
  <c r="G46" i="14"/>
  <c r="F46" i="14"/>
  <c r="E46" i="14"/>
  <c r="C46" i="14"/>
  <c r="A46" i="14"/>
  <c r="N43" i="14"/>
  <c r="H43" i="14"/>
  <c r="O37" i="14"/>
  <c r="M37" i="14"/>
  <c r="K37" i="14"/>
  <c r="I37" i="14"/>
  <c r="G37" i="14"/>
  <c r="E37" i="14"/>
  <c r="C37" i="14"/>
  <c r="O36" i="14"/>
  <c r="M36" i="14"/>
  <c r="K36" i="14"/>
  <c r="I36" i="14"/>
  <c r="H36" i="14"/>
  <c r="G36" i="14"/>
  <c r="E36" i="14"/>
  <c r="C36" i="14"/>
  <c r="A36" i="14"/>
  <c r="N33" i="14"/>
  <c r="L33" i="14"/>
  <c r="J33" i="14"/>
  <c r="J31" i="14" s="1"/>
  <c r="H33" i="14"/>
  <c r="F33" i="14"/>
  <c r="D33" i="14"/>
  <c r="D31" i="14" s="1"/>
  <c r="B33" i="14"/>
  <c r="B43" i="14" s="1"/>
  <c r="N31" i="14"/>
  <c r="N41" i="14" s="1"/>
  <c r="H31" i="14"/>
  <c r="H41" i="14" s="1"/>
  <c r="B31" i="14"/>
  <c r="B41" i="14" s="1"/>
  <c r="N30" i="14"/>
  <c r="N40" i="14" s="1"/>
  <c r="H30" i="14"/>
  <c r="H40" i="14" s="1"/>
  <c r="B30" i="14"/>
  <c r="B40" i="14" s="1"/>
  <c r="O27" i="14"/>
  <c r="M27" i="14"/>
  <c r="K27" i="14"/>
  <c r="I27" i="14"/>
  <c r="G27" i="14"/>
  <c r="E27" i="14"/>
  <c r="C27" i="14"/>
  <c r="O25" i="14"/>
  <c r="M25" i="14"/>
  <c r="K25" i="14"/>
  <c r="J25" i="14"/>
  <c r="I25" i="14"/>
  <c r="G25" i="14"/>
  <c r="E25" i="14"/>
  <c r="D25" i="14"/>
  <c r="C25" i="14"/>
  <c r="A25" i="14"/>
  <c r="O18" i="14"/>
  <c r="M18" i="14"/>
  <c r="K18" i="14"/>
  <c r="J18" i="14"/>
  <c r="I18" i="14"/>
  <c r="G18" i="14"/>
  <c r="F18" i="14"/>
  <c r="E18" i="14"/>
  <c r="D18" i="14"/>
  <c r="C18" i="14"/>
  <c r="A18" i="14"/>
  <c r="N10" i="14"/>
  <c r="L10" i="14"/>
  <c r="J10" i="14"/>
  <c r="H10" i="14"/>
  <c r="F10" i="14"/>
  <c r="D10" i="14"/>
  <c r="B10" i="14"/>
  <c r="N8" i="14"/>
  <c r="L8" i="14"/>
  <c r="J8" i="14"/>
  <c r="H8" i="14"/>
  <c r="F8" i="14"/>
  <c r="D8" i="14"/>
  <c r="E8" i="14" s="1"/>
  <c r="E9" i="14" s="1"/>
  <c r="B8" i="14"/>
  <c r="I7" i="14"/>
  <c r="G7" i="14"/>
  <c r="G8" i="14" s="1"/>
  <c r="G9" i="14" s="1"/>
  <c r="E7" i="14"/>
  <c r="M6" i="14"/>
  <c r="M7" i="14" s="1"/>
  <c r="K6" i="14"/>
  <c r="K7" i="14" s="1"/>
  <c r="I6" i="14"/>
  <c r="G6" i="14"/>
  <c r="E6" i="14"/>
  <c r="C6" i="14"/>
  <c r="C7" i="14" s="1"/>
  <c r="N5" i="14"/>
  <c r="N46" i="14" s="1"/>
  <c r="L5" i="14"/>
  <c r="L25" i="14" s="1"/>
  <c r="J5" i="14"/>
  <c r="J36" i="14" s="1"/>
  <c r="H5" i="14"/>
  <c r="H46" i="14" s="1"/>
  <c r="F5" i="14"/>
  <c r="F25" i="14" s="1"/>
  <c r="D5" i="14"/>
  <c r="D36" i="14" s="1"/>
  <c r="B5" i="14"/>
  <c r="B46" i="14" s="1"/>
  <c r="H43" i="12"/>
  <c r="L43" i="12"/>
  <c r="O37" i="12"/>
  <c r="M37" i="12"/>
  <c r="K37" i="12"/>
  <c r="I37" i="12"/>
  <c r="G37" i="12"/>
  <c r="E37" i="12"/>
  <c r="C37" i="12"/>
  <c r="A36" i="12"/>
  <c r="O36" i="12"/>
  <c r="M36" i="12"/>
  <c r="K36" i="12"/>
  <c r="I36" i="12"/>
  <c r="G36" i="12"/>
  <c r="E36" i="12"/>
  <c r="C36" i="12"/>
  <c r="H30" i="12"/>
  <c r="H40" i="12" s="1"/>
  <c r="J31" i="12"/>
  <c r="J41" i="12" s="1"/>
  <c r="N33" i="12"/>
  <c r="N31" i="12" s="1"/>
  <c r="N41" i="12" s="1"/>
  <c r="L33" i="12"/>
  <c r="L31" i="12" s="1"/>
  <c r="L41" i="12" s="1"/>
  <c r="J33" i="12"/>
  <c r="J30" i="12" s="1"/>
  <c r="J40" i="12" s="1"/>
  <c r="H33" i="12"/>
  <c r="H31" i="12" s="1"/>
  <c r="H41" i="12" s="1"/>
  <c r="F33" i="12"/>
  <c r="F31" i="12" s="1"/>
  <c r="F41" i="12" s="1"/>
  <c r="D33" i="12"/>
  <c r="D30" i="12" s="1"/>
  <c r="D40" i="12" s="1"/>
  <c r="B33" i="12"/>
  <c r="B31" i="12" s="1"/>
  <c r="B41" i="12" s="1"/>
  <c r="D57" i="4"/>
  <c r="D57" i="5"/>
  <c r="D57" i="6"/>
  <c r="D57" i="7"/>
  <c r="D57" i="3"/>
  <c r="N10" i="12"/>
  <c r="N8" i="12"/>
  <c r="N5" i="12"/>
  <c r="N25" i="12" s="1"/>
  <c r="O46" i="12"/>
  <c r="O27" i="12"/>
  <c r="O25" i="12"/>
  <c r="O18" i="12"/>
  <c r="G10" i="14" l="1"/>
  <c r="G11" i="14" s="1"/>
  <c r="J41" i="14"/>
  <c r="K8" i="14"/>
  <c r="K9" i="14" s="1"/>
  <c r="M8" i="14"/>
  <c r="M9" i="14"/>
  <c r="E11" i="14"/>
  <c r="E10" i="14"/>
  <c r="D41" i="14"/>
  <c r="C8" i="14"/>
  <c r="C9" i="14" s="1"/>
  <c r="B36" i="14"/>
  <c r="N36" i="14"/>
  <c r="L18" i="14"/>
  <c r="B18" i="14"/>
  <c r="H18" i="14"/>
  <c r="N18" i="14"/>
  <c r="F43" i="14"/>
  <c r="L43" i="14"/>
  <c r="J30" i="14"/>
  <c r="I8" i="14"/>
  <c r="I9" i="14" s="1"/>
  <c r="B25" i="14"/>
  <c r="H25" i="14"/>
  <c r="N25" i="14"/>
  <c r="F31" i="14"/>
  <c r="L31" i="14"/>
  <c r="F36" i="14"/>
  <c r="L36" i="14"/>
  <c r="D46" i="14"/>
  <c r="J46" i="14"/>
  <c r="D30" i="14"/>
  <c r="D43" i="14"/>
  <c r="J43" i="14"/>
  <c r="F30" i="14"/>
  <c r="L30" i="14"/>
  <c r="D43" i="12"/>
  <c r="N43" i="12"/>
  <c r="J43" i="12"/>
  <c r="F43" i="12"/>
  <c r="B43" i="12"/>
  <c r="N36" i="12"/>
  <c r="D31" i="12"/>
  <c r="D41" i="12" s="1"/>
  <c r="N30" i="12"/>
  <c r="N40" i="12" s="1"/>
  <c r="B30" i="12"/>
  <c r="B40" i="12" s="1"/>
  <c r="L30" i="12"/>
  <c r="L40" i="12" s="1"/>
  <c r="F30" i="12"/>
  <c r="F40" i="12" s="1"/>
  <c r="N18" i="12"/>
  <c r="N46" i="12"/>
  <c r="C95" i="7"/>
  <c r="C94" i="7"/>
  <c r="C93" i="7"/>
  <c r="C92" i="7"/>
  <c r="C91" i="7"/>
  <c r="C81" i="7"/>
  <c r="C80" i="7"/>
  <c r="C79" i="7"/>
  <c r="C78" i="7"/>
  <c r="C76" i="7"/>
  <c r="K10" i="14" l="1"/>
  <c r="K11" i="14"/>
  <c r="I10" i="14"/>
  <c r="I11" i="14" s="1"/>
  <c r="C10" i="14"/>
  <c r="C11" i="14" s="1"/>
  <c r="L40" i="14"/>
  <c r="F40" i="14"/>
  <c r="D40" i="14"/>
  <c r="L41" i="14"/>
  <c r="F41" i="14"/>
  <c r="J40" i="14"/>
  <c r="M10" i="14"/>
  <c r="M11" i="14" s="1"/>
  <c r="B16" i="13"/>
  <c r="D10" i="13" l="1"/>
  <c r="B10" i="13"/>
  <c r="D9" i="13"/>
  <c r="B9" i="13"/>
  <c r="D8" i="13"/>
  <c r="B8" i="13"/>
  <c r="D7" i="13"/>
  <c r="B7" i="13"/>
  <c r="D6" i="13"/>
  <c r="B6" i="13"/>
  <c r="D5" i="13"/>
  <c r="D12" i="13" s="1"/>
  <c r="B5" i="13"/>
  <c r="C46" i="12"/>
  <c r="E46" i="12"/>
  <c r="G46" i="12"/>
  <c r="I46" i="12"/>
  <c r="K46" i="12"/>
  <c r="M46" i="12"/>
  <c r="A46" i="12"/>
  <c r="K27" i="12"/>
  <c r="M27" i="12"/>
  <c r="I27" i="12"/>
  <c r="G27" i="12"/>
  <c r="E27" i="12"/>
  <c r="C27" i="12"/>
  <c r="C25" i="12"/>
  <c r="E25" i="12"/>
  <c r="G25" i="12"/>
  <c r="I25" i="12"/>
  <c r="M25" i="12"/>
  <c r="K25" i="12"/>
  <c r="A25" i="12"/>
  <c r="C18" i="12" l="1"/>
  <c r="E18" i="12"/>
  <c r="G18" i="12"/>
  <c r="I18" i="12"/>
  <c r="M18" i="12"/>
  <c r="K18" i="12"/>
  <c r="A18" i="12"/>
  <c r="J10" i="12"/>
  <c r="J8" i="12"/>
  <c r="J5" i="12"/>
  <c r="J36" i="12" s="1"/>
  <c r="L10" i="12"/>
  <c r="L8" i="12"/>
  <c r="L5" i="12"/>
  <c r="L36" i="12" s="1"/>
  <c r="H10" i="12"/>
  <c r="H8" i="12"/>
  <c r="H5" i="12"/>
  <c r="H36" i="12" s="1"/>
  <c r="F10" i="12"/>
  <c r="F8" i="12"/>
  <c r="F5" i="12"/>
  <c r="F36" i="12" s="1"/>
  <c r="D10" i="12"/>
  <c r="D8" i="12"/>
  <c r="D5" i="12"/>
  <c r="D36" i="12" s="1"/>
  <c r="B10" i="12"/>
  <c r="B8" i="12"/>
  <c r="B5" i="12"/>
  <c r="B36" i="12" s="1"/>
  <c r="C130" i="7"/>
  <c r="C137" i="7" s="1"/>
  <c r="D122" i="7"/>
  <c r="D147" i="7" s="1"/>
  <c r="D56" i="7"/>
  <c r="D61" i="7" s="1"/>
  <c r="D69" i="7" s="1"/>
  <c r="C50" i="7"/>
  <c r="C35" i="7"/>
  <c r="C36" i="7" s="1"/>
  <c r="C34" i="7"/>
  <c r="D26" i="7"/>
  <c r="O6" i="14" l="1"/>
  <c r="O7" i="14" s="1"/>
  <c r="O8" i="14" s="1"/>
  <c r="O9" i="14" s="1"/>
  <c r="O6" i="12"/>
  <c r="O7" i="12" s="1"/>
  <c r="O8" i="12" s="1"/>
  <c r="O9" i="12" s="1"/>
  <c r="O10" i="12" s="1"/>
  <c r="O11" i="12" s="1"/>
  <c r="N12" i="12"/>
  <c r="N12" i="14"/>
  <c r="D35" i="7"/>
  <c r="D79" i="7"/>
  <c r="D80" i="7" s="1"/>
  <c r="D76" i="7"/>
  <c r="D77" i="7" s="1"/>
  <c r="D78" i="7"/>
  <c r="D81" i="7"/>
  <c r="J25" i="12"/>
  <c r="L46" i="12"/>
  <c r="H25" i="12"/>
  <c r="H46" i="12"/>
  <c r="D25" i="12"/>
  <c r="D46" i="12"/>
  <c r="B25" i="12"/>
  <c r="B46" i="12"/>
  <c r="L25" i="12"/>
  <c r="J46" i="12"/>
  <c r="F25" i="12"/>
  <c r="F46" i="12"/>
  <c r="L18" i="12"/>
  <c r="D34" i="7"/>
  <c r="D18" i="12"/>
  <c r="H18" i="12"/>
  <c r="B18" i="12"/>
  <c r="J18" i="12"/>
  <c r="F18" i="12"/>
  <c r="D143" i="7"/>
  <c r="C130" i="6"/>
  <c r="C137" i="6" s="1"/>
  <c r="D122" i="6"/>
  <c r="D147" i="6" s="1"/>
  <c r="C95" i="6"/>
  <c r="C94" i="6"/>
  <c r="C93" i="6"/>
  <c r="C92" i="6"/>
  <c r="C91" i="6"/>
  <c r="C81" i="6"/>
  <c r="C79" i="6"/>
  <c r="C78" i="6"/>
  <c r="C76" i="6"/>
  <c r="D56" i="6"/>
  <c r="D61" i="6" s="1"/>
  <c r="D69" i="6" s="1"/>
  <c r="C50" i="6"/>
  <c r="C80" i="6" s="1"/>
  <c r="C35" i="6"/>
  <c r="C36" i="6" s="1"/>
  <c r="C34" i="6"/>
  <c r="D26" i="6"/>
  <c r="C130" i="5"/>
  <c r="C137" i="5" s="1"/>
  <c r="D122" i="5"/>
  <c r="D147" i="5" s="1"/>
  <c r="C95" i="5"/>
  <c r="C94" i="5"/>
  <c r="C93" i="5"/>
  <c r="C92" i="5"/>
  <c r="C91" i="5"/>
  <c r="C81" i="5"/>
  <c r="C80" i="5"/>
  <c r="C79" i="5"/>
  <c r="C78" i="5"/>
  <c r="C76" i="5"/>
  <c r="D56" i="5"/>
  <c r="D61" i="5" s="1"/>
  <c r="D69" i="5" s="1"/>
  <c r="C50" i="5"/>
  <c r="C35" i="5"/>
  <c r="C34" i="5"/>
  <c r="C36" i="5" s="1"/>
  <c r="D26" i="5"/>
  <c r="D147" i="4"/>
  <c r="C137" i="4"/>
  <c r="C130" i="4"/>
  <c r="D122" i="4"/>
  <c r="C95" i="4"/>
  <c r="C94" i="4"/>
  <c r="C93" i="4"/>
  <c r="C92" i="4"/>
  <c r="C91" i="4"/>
  <c r="C81" i="4"/>
  <c r="C79" i="4"/>
  <c r="D78" i="4"/>
  <c r="C78" i="4"/>
  <c r="C76" i="4"/>
  <c r="D56" i="4"/>
  <c r="C50" i="4"/>
  <c r="C80" i="4" s="1"/>
  <c r="D35" i="4"/>
  <c r="C35" i="4"/>
  <c r="C34" i="4"/>
  <c r="C36" i="4" s="1"/>
  <c r="D26" i="4"/>
  <c r="D122" i="1"/>
  <c r="D122" i="2"/>
  <c r="D122" i="3"/>
  <c r="D147" i="3" s="1"/>
  <c r="C130" i="3"/>
  <c r="C137" i="3" s="1"/>
  <c r="C95" i="3"/>
  <c r="C94" i="3"/>
  <c r="C93" i="3"/>
  <c r="C92" i="3"/>
  <c r="C91" i="3"/>
  <c r="C81" i="3"/>
  <c r="C79" i="3"/>
  <c r="C78" i="3"/>
  <c r="C76" i="3"/>
  <c r="D61" i="3"/>
  <c r="D69" i="3" s="1"/>
  <c r="D56" i="3"/>
  <c r="C50" i="3"/>
  <c r="C80" i="3" s="1"/>
  <c r="C35" i="3"/>
  <c r="C34" i="3"/>
  <c r="C36" i="3" s="1"/>
  <c r="D26" i="3"/>
  <c r="G6" i="12" s="1"/>
  <c r="G7" i="12" s="1"/>
  <c r="G8" i="12" s="1"/>
  <c r="G9" i="12" s="1"/>
  <c r="D147" i="2"/>
  <c r="C130" i="2"/>
  <c r="C137" i="2" s="1"/>
  <c r="C95" i="2"/>
  <c r="C94" i="2"/>
  <c r="C93" i="2"/>
  <c r="C92" i="2"/>
  <c r="C91" i="2"/>
  <c r="C81" i="2"/>
  <c r="C79" i="2"/>
  <c r="C78" i="2"/>
  <c r="C76" i="2"/>
  <c r="D57" i="2"/>
  <c r="D56" i="2"/>
  <c r="D61" i="2" s="1"/>
  <c r="D69" i="2" s="1"/>
  <c r="C50" i="2"/>
  <c r="C80" i="2" s="1"/>
  <c r="C35" i="2"/>
  <c r="C36" i="2" s="1"/>
  <c r="C34" i="2"/>
  <c r="D26" i="2"/>
  <c r="D57" i="1"/>
  <c r="D36" i="7" l="1"/>
  <c r="D82" i="7"/>
  <c r="D145" i="7" s="1"/>
  <c r="O10" i="14"/>
  <c r="O11" i="14" s="1"/>
  <c r="O12" i="14" s="1"/>
  <c r="O13" i="14" s="1"/>
  <c r="D12" i="14"/>
  <c r="D12" i="12"/>
  <c r="L12" i="14"/>
  <c r="L12" i="12"/>
  <c r="N28" i="12"/>
  <c r="O28" i="12" s="1"/>
  <c r="O29" i="12" s="1"/>
  <c r="N38" i="12"/>
  <c r="O38" i="12" s="1"/>
  <c r="O39" i="12" s="1"/>
  <c r="O12" i="12"/>
  <c r="O13" i="12" s="1"/>
  <c r="J12" i="14"/>
  <c r="J12" i="12"/>
  <c r="H12" i="14"/>
  <c r="H12" i="12"/>
  <c r="F12" i="14"/>
  <c r="F12" i="12"/>
  <c r="N38" i="14"/>
  <c r="O38" i="14" s="1"/>
  <c r="O39" i="14" s="1"/>
  <c r="N28" i="14"/>
  <c r="O28" i="14" s="1"/>
  <c r="O29" i="14" s="1"/>
  <c r="D34" i="6"/>
  <c r="M6" i="12"/>
  <c r="M7" i="12" s="1"/>
  <c r="M8" i="12" s="1"/>
  <c r="M9" i="12" s="1"/>
  <c r="M10" i="12" s="1"/>
  <c r="M11" i="12" s="1"/>
  <c r="D143" i="5"/>
  <c r="K6" i="12"/>
  <c r="K7" i="12" s="1"/>
  <c r="K8" i="12" s="1"/>
  <c r="K9" i="12" s="1"/>
  <c r="K10" i="12" s="1"/>
  <c r="K11" i="12" s="1"/>
  <c r="D81" i="4"/>
  <c r="I6" i="12"/>
  <c r="I7" i="12" s="1"/>
  <c r="I8" i="12" s="1"/>
  <c r="I9" i="12" s="1"/>
  <c r="I10" i="12" s="1"/>
  <c r="I11" i="12" s="1"/>
  <c r="D143" i="2"/>
  <c r="E6" i="12"/>
  <c r="E7" i="12" s="1"/>
  <c r="E8" i="12" s="1"/>
  <c r="E9" i="12" s="1"/>
  <c r="E10" i="12" s="1"/>
  <c r="E11" i="12" s="1"/>
  <c r="G10" i="12"/>
  <c r="G11" i="12" s="1"/>
  <c r="D35" i="6"/>
  <c r="D36" i="6" s="1"/>
  <c r="D78" i="6"/>
  <c r="D81" i="6"/>
  <c r="D79" i="6"/>
  <c r="D80" i="6" s="1"/>
  <c r="D143" i="6"/>
  <c r="D76" i="6"/>
  <c r="D35" i="5"/>
  <c r="D81" i="5"/>
  <c r="D78" i="5"/>
  <c r="D76" i="5"/>
  <c r="D77" i="5" s="1"/>
  <c r="D34" i="5"/>
  <c r="D79" i="5"/>
  <c r="D80" i="5" s="1"/>
  <c r="D61" i="4"/>
  <c r="D69" i="4" s="1"/>
  <c r="D34" i="4"/>
  <c r="D36" i="4" s="1"/>
  <c r="D43" i="4" s="1"/>
  <c r="D143" i="4"/>
  <c r="D79" i="4"/>
  <c r="D80" i="4" s="1"/>
  <c r="D76" i="4"/>
  <c r="D35" i="3"/>
  <c r="D76" i="3"/>
  <c r="D34" i="3"/>
  <c r="D78" i="3"/>
  <c r="D81" i="3"/>
  <c r="D143" i="3"/>
  <c r="D79" i="3"/>
  <c r="D80" i="3" s="1"/>
  <c r="D78" i="2"/>
  <c r="D81" i="2"/>
  <c r="D35" i="2"/>
  <c r="D79" i="2"/>
  <c r="D80" i="2" s="1"/>
  <c r="D76" i="2"/>
  <c r="D34" i="2"/>
  <c r="D56" i="1"/>
  <c r="D49" i="7" l="1"/>
  <c r="D44" i="7"/>
  <c r="D48" i="7"/>
  <c r="D43" i="7"/>
  <c r="D67" i="7"/>
  <c r="D47" i="7"/>
  <c r="D45" i="7"/>
  <c r="D42" i="7"/>
  <c r="D50" i="7" s="1"/>
  <c r="D68" i="7" s="1"/>
  <c r="D70" i="7" s="1"/>
  <c r="D46" i="7"/>
  <c r="O40" i="12"/>
  <c r="O41" i="12"/>
  <c r="O30" i="14"/>
  <c r="O31" i="14"/>
  <c r="O41" i="14"/>
  <c r="O40" i="14"/>
  <c r="O42" i="14" s="1"/>
  <c r="O43" i="14" s="1"/>
  <c r="O49" i="14" s="1"/>
  <c r="H38" i="12"/>
  <c r="I38" i="12" s="1"/>
  <c r="I39" i="12" s="1"/>
  <c r="H28" i="12"/>
  <c r="I28" i="12" s="1"/>
  <c r="I29" i="12" s="1"/>
  <c r="O31" i="12"/>
  <c r="O30" i="12"/>
  <c r="L38" i="14"/>
  <c r="M38" i="14" s="1"/>
  <c r="M39" i="14" s="1"/>
  <c r="L28" i="14"/>
  <c r="M28" i="14" s="1"/>
  <c r="M29" i="14" s="1"/>
  <c r="M12" i="14"/>
  <c r="M13" i="14" s="1"/>
  <c r="F38" i="14"/>
  <c r="G38" i="14" s="1"/>
  <c r="G39" i="14" s="1"/>
  <c r="F28" i="14"/>
  <c r="G28" i="14" s="1"/>
  <c r="G29" i="14" s="1"/>
  <c r="G12" i="14"/>
  <c r="G13" i="14" s="1"/>
  <c r="O15" i="14"/>
  <c r="O21" i="14" s="1"/>
  <c r="O14" i="14"/>
  <c r="H38" i="14"/>
  <c r="I38" i="14" s="1"/>
  <c r="I39" i="14" s="1"/>
  <c r="H28" i="14"/>
  <c r="I28" i="14" s="1"/>
  <c r="I29" i="14" s="1"/>
  <c r="I12" i="14"/>
  <c r="I13" i="14" s="1"/>
  <c r="L28" i="12"/>
  <c r="M28" i="12" s="1"/>
  <c r="M29" i="12" s="1"/>
  <c r="L38" i="12"/>
  <c r="M38" i="12" s="1"/>
  <c r="M39" i="12" s="1"/>
  <c r="J28" i="12"/>
  <c r="K28" i="12" s="1"/>
  <c r="K29" i="12" s="1"/>
  <c r="J38" i="12"/>
  <c r="K38" i="12" s="1"/>
  <c r="K39" i="12" s="1"/>
  <c r="J38" i="14"/>
  <c r="K38" i="14" s="1"/>
  <c r="K39" i="14" s="1"/>
  <c r="J28" i="14"/>
  <c r="K28" i="14" s="1"/>
  <c r="K29" i="14" s="1"/>
  <c r="K12" i="14"/>
  <c r="K13" i="14" s="1"/>
  <c r="D28" i="12"/>
  <c r="E28" i="12" s="1"/>
  <c r="E29" i="12" s="1"/>
  <c r="D38" i="12"/>
  <c r="E38" i="12" s="1"/>
  <c r="E39" i="12" s="1"/>
  <c r="F28" i="12"/>
  <c r="G28" i="12" s="1"/>
  <c r="G29" i="12" s="1"/>
  <c r="F38" i="12"/>
  <c r="G38" i="12" s="1"/>
  <c r="G39" i="12" s="1"/>
  <c r="O15" i="12"/>
  <c r="O21" i="12" s="1"/>
  <c r="O14" i="12"/>
  <c r="D38" i="14"/>
  <c r="E38" i="14" s="1"/>
  <c r="E39" i="14" s="1"/>
  <c r="D28" i="14"/>
  <c r="E28" i="14" s="1"/>
  <c r="E29" i="14" s="1"/>
  <c r="E12" i="14"/>
  <c r="E13" i="14" s="1"/>
  <c r="D82" i="5"/>
  <c r="D145" i="5" s="1"/>
  <c r="D42" i="4"/>
  <c r="D36" i="3"/>
  <c r="D48" i="3" s="1"/>
  <c r="K12" i="12"/>
  <c r="K13" i="12" s="1"/>
  <c r="M12" i="12"/>
  <c r="M13" i="12" s="1"/>
  <c r="I12" i="12"/>
  <c r="I13" i="12" s="1"/>
  <c r="G12" i="12"/>
  <c r="G13" i="12" s="1"/>
  <c r="E12" i="12"/>
  <c r="E13" i="12" s="1"/>
  <c r="D67" i="6"/>
  <c r="D43" i="6"/>
  <c r="D49" i="6"/>
  <c r="D44" i="6"/>
  <c r="D48" i="6"/>
  <c r="D47" i="6"/>
  <c r="D46" i="6"/>
  <c r="D42" i="6"/>
  <c r="D45" i="6"/>
  <c r="D77" i="6"/>
  <c r="D82" i="6" s="1"/>
  <c r="D145" i="6" s="1"/>
  <c r="D36" i="5"/>
  <c r="D47" i="5" s="1"/>
  <c r="D42" i="5"/>
  <c r="D46" i="4"/>
  <c r="D49" i="4"/>
  <c r="D48" i="4"/>
  <c r="D77" i="4"/>
  <c r="D82" i="4" s="1"/>
  <c r="D145" i="4" s="1"/>
  <c r="D45" i="4"/>
  <c r="D67" i="4"/>
  <c r="D47" i="4"/>
  <c r="D44" i="4"/>
  <c r="D47" i="3"/>
  <c r="D45" i="3"/>
  <c r="D67" i="3"/>
  <c r="D49" i="3"/>
  <c r="D43" i="3"/>
  <c r="D77" i="3"/>
  <c r="D82" i="3" s="1"/>
  <c r="D145" i="3" s="1"/>
  <c r="D46" i="3"/>
  <c r="D44" i="3"/>
  <c r="D42" i="3"/>
  <c r="D77" i="2"/>
  <c r="D82" i="2" s="1"/>
  <c r="D145" i="2" s="1"/>
  <c r="D36" i="2"/>
  <c r="C81" i="1"/>
  <c r="C78" i="1"/>
  <c r="D144" i="7" l="1"/>
  <c r="D103" i="7"/>
  <c r="D104" i="7" s="1"/>
  <c r="D111" i="7" s="1"/>
  <c r="O32" i="14"/>
  <c r="O33" i="14" s="1"/>
  <c r="O48" i="14" s="1"/>
  <c r="I15" i="14"/>
  <c r="I21" i="14" s="1"/>
  <c r="I14" i="14"/>
  <c r="G40" i="12"/>
  <c r="G41" i="12"/>
  <c r="E40" i="12"/>
  <c r="E41" i="12"/>
  <c r="K31" i="12"/>
  <c r="K30" i="12"/>
  <c r="K32" i="12" s="1"/>
  <c r="K33" i="12" s="1"/>
  <c r="M48" i="12" s="1"/>
  <c r="O19" i="14"/>
  <c r="O20" i="14"/>
  <c r="M31" i="14"/>
  <c r="M30" i="14"/>
  <c r="K31" i="14"/>
  <c r="K30" i="14"/>
  <c r="K32" i="14" s="1"/>
  <c r="K33" i="14" s="1"/>
  <c r="M48" i="14" s="1"/>
  <c r="G40" i="14"/>
  <c r="G41" i="14"/>
  <c r="E41" i="14"/>
  <c r="E40" i="14"/>
  <c r="E31" i="12"/>
  <c r="E30" i="12"/>
  <c r="E32" i="12" s="1"/>
  <c r="E33" i="12" s="1"/>
  <c r="E48" i="12" s="1"/>
  <c r="M41" i="12"/>
  <c r="M40" i="12"/>
  <c r="M41" i="14"/>
  <c r="M40" i="14"/>
  <c r="G31" i="14"/>
  <c r="G30" i="14"/>
  <c r="G32" i="14" s="1"/>
  <c r="G33" i="14" s="1"/>
  <c r="G48" i="14" s="1"/>
  <c r="I30" i="14"/>
  <c r="I31" i="14"/>
  <c r="E31" i="14"/>
  <c r="E30" i="14"/>
  <c r="O20" i="12"/>
  <c r="O19" i="12"/>
  <c r="O22" i="12" s="1"/>
  <c r="O47" i="12" s="1"/>
  <c r="K15" i="14"/>
  <c r="K21" i="14" s="1"/>
  <c r="K14" i="14"/>
  <c r="M31" i="12"/>
  <c r="M30" i="12"/>
  <c r="G14" i="14"/>
  <c r="G15" i="14"/>
  <c r="G21" i="14" s="1"/>
  <c r="O32" i="12"/>
  <c r="O33" i="12" s="1"/>
  <c r="O48" i="12" s="1"/>
  <c r="K41" i="14"/>
  <c r="K40" i="14"/>
  <c r="I30" i="12"/>
  <c r="I31" i="12"/>
  <c r="E14" i="14"/>
  <c r="E15" i="14"/>
  <c r="E21" i="14" s="1"/>
  <c r="G31" i="12"/>
  <c r="G30" i="12"/>
  <c r="K40" i="12"/>
  <c r="K41" i="12"/>
  <c r="I40" i="14"/>
  <c r="I41" i="14"/>
  <c r="M14" i="14"/>
  <c r="M15" i="14"/>
  <c r="M21" i="14" s="1"/>
  <c r="I41" i="12"/>
  <c r="I40" i="12"/>
  <c r="O42" i="12"/>
  <c r="O43" i="12" s="1"/>
  <c r="O49" i="12" s="1"/>
  <c r="D92" i="7"/>
  <c r="D96" i="7"/>
  <c r="D91" i="7"/>
  <c r="D95" i="7"/>
  <c r="D94" i="7"/>
  <c r="D93" i="7"/>
  <c r="D46" i="5"/>
  <c r="D43" i="5"/>
  <c r="K15" i="12"/>
  <c r="K21" i="12" s="1"/>
  <c r="K14" i="12"/>
  <c r="M15" i="12"/>
  <c r="M21" i="12" s="1"/>
  <c r="M14" i="12"/>
  <c r="I15" i="12"/>
  <c r="I21" i="12" s="1"/>
  <c r="I14" i="12"/>
  <c r="G14" i="12"/>
  <c r="G15" i="12"/>
  <c r="G21" i="12" s="1"/>
  <c r="E14" i="12"/>
  <c r="E15" i="12"/>
  <c r="E21" i="12" s="1"/>
  <c r="D50" i="6"/>
  <c r="D68" i="6" s="1"/>
  <c r="D70" i="6" s="1"/>
  <c r="D67" i="5"/>
  <c r="D48" i="5"/>
  <c r="D44" i="5"/>
  <c r="D49" i="5"/>
  <c r="D45" i="5"/>
  <c r="D50" i="4"/>
  <c r="D68" i="4" s="1"/>
  <c r="D70" i="4" s="1"/>
  <c r="D50" i="3"/>
  <c r="D68" i="3" s="1"/>
  <c r="D70" i="3" s="1"/>
  <c r="D45" i="2"/>
  <c r="D44" i="2"/>
  <c r="D67" i="2"/>
  <c r="D47" i="2"/>
  <c r="D42" i="2"/>
  <c r="D43" i="2"/>
  <c r="D46" i="2"/>
  <c r="D48" i="2"/>
  <c r="D49" i="2"/>
  <c r="C130" i="1"/>
  <c r="C137" i="1"/>
  <c r="C95" i="1"/>
  <c r="C94" i="1"/>
  <c r="C93" i="1"/>
  <c r="C92" i="1"/>
  <c r="C91" i="1"/>
  <c r="C79" i="1"/>
  <c r="C76" i="1"/>
  <c r="C35" i="1"/>
  <c r="C34" i="1"/>
  <c r="C36" i="1" s="1"/>
  <c r="K42" i="12" l="1"/>
  <c r="K43" i="12" s="1"/>
  <c r="K49" i="12" s="1"/>
  <c r="I32" i="12"/>
  <c r="I33" i="12" s="1"/>
  <c r="I48" i="12" s="1"/>
  <c r="G42" i="14"/>
  <c r="G43" i="14" s="1"/>
  <c r="G49" i="14" s="1"/>
  <c r="O22" i="14"/>
  <c r="O47" i="14" s="1"/>
  <c r="O50" i="14" s="1"/>
  <c r="G42" i="12"/>
  <c r="G43" i="12" s="1"/>
  <c r="G49" i="12" s="1"/>
  <c r="M32" i="12"/>
  <c r="M33" i="12" s="1"/>
  <c r="K48" i="12" s="1"/>
  <c r="E32" i="14"/>
  <c r="E33" i="14" s="1"/>
  <c r="E48" i="14" s="1"/>
  <c r="M42" i="14"/>
  <c r="M43" i="14" s="1"/>
  <c r="M49" i="14" s="1"/>
  <c r="E42" i="14"/>
  <c r="E43" i="14" s="1"/>
  <c r="E49" i="14" s="1"/>
  <c r="M32" i="14"/>
  <c r="M33" i="14" s="1"/>
  <c r="K48" i="14" s="1"/>
  <c r="E20" i="14"/>
  <c r="E19" i="14"/>
  <c r="E22" i="14" s="1"/>
  <c r="E47" i="14" s="1"/>
  <c r="I42" i="14"/>
  <c r="I43" i="14" s="1"/>
  <c r="I49" i="14" s="1"/>
  <c r="G32" i="12"/>
  <c r="G33" i="12" s="1"/>
  <c r="G48" i="12" s="1"/>
  <c r="K42" i="14"/>
  <c r="K43" i="14" s="1"/>
  <c r="K49" i="14" s="1"/>
  <c r="E42" i="12"/>
  <c r="E43" i="12" s="1"/>
  <c r="E49" i="12" s="1"/>
  <c r="O50" i="12"/>
  <c r="M19" i="14"/>
  <c r="M20" i="14"/>
  <c r="K20" i="14"/>
  <c r="K19" i="14"/>
  <c r="I32" i="14"/>
  <c r="I33" i="14" s="1"/>
  <c r="I48" i="14" s="1"/>
  <c r="M42" i="12"/>
  <c r="M43" i="12" s="1"/>
  <c r="M49" i="12" s="1"/>
  <c r="B12" i="14"/>
  <c r="B12" i="12"/>
  <c r="I19" i="14"/>
  <c r="I20" i="14"/>
  <c r="I42" i="12"/>
  <c r="I43" i="12" s="1"/>
  <c r="I49" i="12" s="1"/>
  <c r="G20" i="14"/>
  <c r="G19" i="14"/>
  <c r="G22" i="14" s="1"/>
  <c r="G47" i="14" s="1"/>
  <c r="G50" i="14" s="1"/>
  <c r="D97" i="7"/>
  <c r="D110" i="7" s="1"/>
  <c r="D112" i="7" s="1"/>
  <c r="D146" i="7" s="1"/>
  <c r="D148" i="7" s="1"/>
  <c r="D128" i="7" s="1"/>
  <c r="D50" i="5"/>
  <c r="D68" i="5" s="1"/>
  <c r="D70" i="5" s="1"/>
  <c r="D93" i="5" s="1"/>
  <c r="G20" i="12"/>
  <c r="G19" i="12"/>
  <c r="M20" i="12"/>
  <c r="M19" i="12"/>
  <c r="E20" i="12"/>
  <c r="E19" i="12"/>
  <c r="K20" i="12"/>
  <c r="K19" i="12"/>
  <c r="I20" i="12"/>
  <c r="I19" i="12"/>
  <c r="D144" i="6"/>
  <c r="D103" i="6"/>
  <c r="D104" i="6" s="1"/>
  <c r="D111" i="6" s="1"/>
  <c r="D92" i="6"/>
  <c r="D93" i="6"/>
  <c r="D96" i="6"/>
  <c r="D91" i="6"/>
  <c r="D95" i="6"/>
  <c r="D94" i="6"/>
  <c r="D95" i="5"/>
  <c r="D144" i="4"/>
  <c r="D94" i="4"/>
  <c r="D103" i="4"/>
  <c r="D104" i="4" s="1"/>
  <c r="D111" i="4" s="1"/>
  <c r="D92" i="4"/>
  <c r="D95" i="4"/>
  <c r="D93" i="4"/>
  <c r="D96" i="4"/>
  <c r="D91" i="4"/>
  <c r="D144" i="3"/>
  <c r="D92" i="3"/>
  <c r="D93" i="3"/>
  <c r="D91" i="3"/>
  <c r="D103" i="3"/>
  <c r="D104" i="3" s="1"/>
  <c r="D111" i="3" s="1"/>
  <c r="D95" i="3"/>
  <c r="D94" i="3"/>
  <c r="D96" i="3"/>
  <c r="D50" i="2"/>
  <c r="D68" i="2" s="1"/>
  <c r="D70" i="2" s="1"/>
  <c r="D147" i="1"/>
  <c r="D61" i="1"/>
  <c r="D69" i="1" s="1"/>
  <c r="C50" i="1"/>
  <c r="C80" i="1" s="1"/>
  <c r="D26" i="1"/>
  <c r="E50" i="14" l="1"/>
  <c r="K22" i="14"/>
  <c r="K47" i="14" s="1"/>
  <c r="K50" i="14" s="1"/>
  <c r="B28" i="12"/>
  <c r="C28" i="12" s="1"/>
  <c r="C29" i="12" s="1"/>
  <c r="B38" i="12"/>
  <c r="C38" i="12" s="1"/>
  <c r="C39" i="12" s="1"/>
  <c r="M22" i="14"/>
  <c r="M47" i="14" s="1"/>
  <c r="M50" i="14" s="1"/>
  <c r="I22" i="14"/>
  <c r="I47" i="14" s="1"/>
  <c r="I50" i="14" s="1"/>
  <c r="B38" i="14"/>
  <c r="C38" i="14" s="1"/>
  <c r="C39" i="14" s="1"/>
  <c r="B28" i="14"/>
  <c r="C28" i="14" s="1"/>
  <c r="C29" i="14" s="1"/>
  <c r="C12" i="14"/>
  <c r="C13" i="14" s="1"/>
  <c r="K22" i="12"/>
  <c r="K47" i="12" s="1"/>
  <c r="K50" i="12" s="1"/>
  <c r="G22" i="12"/>
  <c r="G47" i="12" s="1"/>
  <c r="G50" i="12" s="1"/>
  <c r="M22" i="12"/>
  <c r="D91" i="5"/>
  <c r="D96" i="5"/>
  <c r="D103" i="5"/>
  <c r="D104" i="5" s="1"/>
  <c r="D111" i="5" s="1"/>
  <c r="D94" i="5"/>
  <c r="D92" i="5"/>
  <c r="D97" i="5" s="1"/>
  <c r="D110" i="5" s="1"/>
  <c r="D112" i="5" s="1"/>
  <c r="D146" i="5" s="1"/>
  <c r="D148" i="5" s="1"/>
  <c r="D144" i="5"/>
  <c r="I22" i="12"/>
  <c r="C6" i="12"/>
  <c r="C7" i="12" s="1"/>
  <c r="E22" i="12"/>
  <c r="D129" i="7"/>
  <c r="D130" i="7" s="1"/>
  <c r="D97" i="6"/>
  <c r="D110" i="6" s="1"/>
  <c r="D112" i="6" s="1"/>
  <c r="D146" i="6" s="1"/>
  <c r="D148" i="6"/>
  <c r="D97" i="4"/>
  <c r="D110" i="4" s="1"/>
  <c r="D112" i="4" s="1"/>
  <c r="D146" i="4" s="1"/>
  <c r="D148" i="4" s="1"/>
  <c r="D97" i="3"/>
  <c r="D110" i="3" s="1"/>
  <c r="D112" i="3" s="1"/>
  <c r="D146" i="3" s="1"/>
  <c r="D148" i="3" s="1"/>
  <c r="D92" i="2"/>
  <c r="D95" i="2"/>
  <c r="D144" i="2"/>
  <c r="D91" i="2"/>
  <c r="D93" i="2"/>
  <c r="D94" i="2"/>
  <c r="D103" i="2"/>
  <c r="D104" i="2" s="1"/>
  <c r="D111" i="2" s="1"/>
  <c r="D96" i="2"/>
  <c r="D79" i="1"/>
  <c r="D80" i="1" s="1"/>
  <c r="D78" i="1"/>
  <c r="D76" i="1"/>
  <c r="D77" i="1" s="1"/>
  <c r="D143" i="1"/>
  <c r="D35" i="1"/>
  <c r="D81" i="1"/>
  <c r="D34" i="1"/>
  <c r="C40" i="12" l="1"/>
  <c r="C41" i="12"/>
  <c r="C41" i="14"/>
  <c r="C40" i="14"/>
  <c r="C30" i="14"/>
  <c r="C31" i="14"/>
  <c r="C14" i="14"/>
  <c r="C15" i="14"/>
  <c r="C21" i="14" s="1"/>
  <c r="C31" i="12"/>
  <c r="C30" i="12"/>
  <c r="M47" i="12"/>
  <c r="M50" i="12" s="1"/>
  <c r="E47" i="12"/>
  <c r="E50" i="12" s="1"/>
  <c r="I47" i="12"/>
  <c r="I50" i="12" s="1"/>
  <c r="C8" i="12"/>
  <c r="C9" i="12" s="1"/>
  <c r="C10" i="12" s="1"/>
  <c r="C11" i="12" s="1"/>
  <c r="C12" i="12" s="1"/>
  <c r="C13" i="12" s="1"/>
  <c r="D137" i="7"/>
  <c r="D149" i="7" s="1"/>
  <c r="D150" i="7" s="1"/>
  <c r="C11" i="13" s="1"/>
  <c r="E11" i="13" s="1"/>
  <c r="F11" i="13" s="1"/>
  <c r="D128" i="6"/>
  <c r="D128" i="5"/>
  <c r="D128" i="4"/>
  <c r="D128" i="3"/>
  <c r="D97" i="2"/>
  <c r="D110" i="2" s="1"/>
  <c r="D112" i="2" s="1"/>
  <c r="D146" i="2" s="1"/>
  <c r="D148" i="2" s="1"/>
  <c r="D36" i="1"/>
  <c r="D82" i="1"/>
  <c r="C42" i="14" l="1"/>
  <c r="C43" i="14" s="1"/>
  <c r="C49" i="14" s="1"/>
  <c r="C32" i="14"/>
  <c r="C33" i="14" s="1"/>
  <c r="C48" i="14" s="1"/>
  <c r="C32" i="12"/>
  <c r="C33" i="12" s="1"/>
  <c r="C48" i="12" s="1"/>
  <c r="C19" i="14"/>
  <c r="C20" i="14"/>
  <c r="C42" i="12"/>
  <c r="C43" i="12" s="1"/>
  <c r="C49" i="12" s="1"/>
  <c r="C15" i="12"/>
  <c r="C21" i="12" s="1"/>
  <c r="C14" i="12"/>
  <c r="D134" i="7"/>
  <c r="D131" i="7"/>
  <c r="D133" i="7"/>
  <c r="D132" i="7"/>
  <c r="D136" i="7"/>
  <c r="D135" i="7"/>
  <c r="D129" i="6"/>
  <c r="D130" i="6" s="1"/>
  <c r="D129" i="5"/>
  <c r="D130" i="5" s="1"/>
  <c r="D129" i="4"/>
  <c r="D130" i="4" s="1"/>
  <c r="D129" i="3"/>
  <c r="D128" i="2"/>
  <c r="D67" i="1"/>
  <c r="D46" i="1"/>
  <c r="D43" i="1"/>
  <c r="D47" i="1"/>
  <c r="D49" i="1"/>
  <c r="D44" i="1"/>
  <c r="D42" i="1"/>
  <c r="D48" i="1"/>
  <c r="D45" i="1"/>
  <c r="D145" i="1"/>
  <c r="C22" i="14" l="1"/>
  <c r="C47" i="14" s="1"/>
  <c r="C50" i="14" s="1"/>
  <c r="A53" i="14" s="1"/>
  <c r="F17" i="13" s="1"/>
  <c r="F23" i="13" s="1"/>
  <c r="C20" i="12"/>
  <c r="C19" i="12"/>
  <c r="D137" i="6"/>
  <c r="D149" i="6" s="1"/>
  <c r="D150" i="6" s="1"/>
  <c r="C10" i="13" s="1"/>
  <c r="E10" i="13" s="1"/>
  <c r="F10" i="13" s="1"/>
  <c r="D137" i="5"/>
  <c r="D149" i="5" s="1"/>
  <c r="D150" i="5" s="1"/>
  <c r="C9" i="13" s="1"/>
  <c r="E9" i="13" s="1"/>
  <c r="F9" i="13" s="1"/>
  <c r="D137" i="4"/>
  <c r="D149" i="4" s="1"/>
  <c r="D150" i="4" s="1"/>
  <c r="C8" i="13" s="1"/>
  <c r="E8" i="13" s="1"/>
  <c r="F8" i="13" s="1"/>
  <c r="D130" i="3"/>
  <c r="D137" i="3" s="1"/>
  <c r="D149" i="3" s="1"/>
  <c r="D150" i="3" s="1"/>
  <c r="C7" i="13" s="1"/>
  <c r="E7" i="13" s="1"/>
  <c r="F7" i="13" s="1"/>
  <c r="D129" i="2"/>
  <c r="D50" i="1"/>
  <c r="D68" i="1" s="1"/>
  <c r="D70" i="1" s="1"/>
  <c r="D96" i="1" s="1"/>
  <c r="D93" i="1"/>
  <c r="D91" i="1"/>
  <c r="C22" i="12" l="1"/>
  <c r="D134" i="6"/>
  <c r="D135" i="6"/>
  <c r="D136" i="6"/>
  <c r="D131" i="6"/>
  <c r="D132" i="6"/>
  <c r="D133" i="6"/>
  <c r="D144" i="1"/>
  <c r="D95" i="1"/>
  <c r="D94" i="1"/>
  <c r="D103" i="1"/>
  <c r="D104" i="1" s="1"/>
  <c r="D111" i="1" s="1"/>
  <c r="D92" i="1"/>
  <c r="D97" i="1" s="1"/>
  <c r="D110" i="1" s="1"/>
  <c r="D112" i="1" s="1"/>
  <c r="D146" i="1" s="1"/>
  <c r="D148" i="1" s="1"/>
  <c r="D134" i="5"/>
  <c r="D133" i="5"/>
  <c r="D132" i="5"/>
  <c r="D131" i="5"/>
  <c r="D136" i="5"/>
  <c r="D135" i="5"/>
  <c r="D134" i="4"/>
  <c r="D133" i="4"/>
  <c r="D132" i="4"/>
  <c r="D131" i="4"/>
  <c r="D136" i="4"/>
  <c r="D135" i="4"/>
  <c r="D134" i="3"/>
  <c r="D133" i="3"/>
  <c r="D132" i="3"/>
  <c r="D131" i="3"/>
  <c r="D136" i="3"/>
  <c r="D135" i="3"/>
  <c r="D130" i="2"/>
  <c r="D137" i="2" s="1"/>
  <c r="D149" i="2" s="1"/>
  <c r="C47" i="12" l="1"/>
  <c r="D150" i="2"/>
  <c r="D135" i="2" s="1"/>
  <c r="D128" i="1"/>
  <c r="D129" i="1" s="1"/>
  <c r="D130" i="1" s="1"/>
  <c r="C50" i="12" l="1"/>
  <c r="A53" i="12" s="1"/>
  <c r="F16" i="13" s="1"/>
  <c r="D131" i="2"/>
  <c r="D136" i="2"/>
  <c r="D132" i="2"/>
  <c r="D134" i="2"/>
  <c r="C6" i="13"/>
  <c r="E6" i="13" s="1"/>
  <c r="F6" i="13" s="1"/>
  <c r="D133" i="2"/>
  <c r="D137" i="1"/>
  <c r="D149" i="1" s="1"/>
  <c r="C23" i="13" l="1"/>
  <c r="F18" i="13"/>
  <c r="D150" i="1"/>
  <c r="D133" i="1" s="1"/>
  <c r="D134" i="1" l="1"/>
  <c r="D131" i="1"/>
  <c r="D136" i="1"/>
  <c r="C5" i="13"/>
  <c r="E5" i="13" s="1"/>
  <c r="E12" i="13" s="1"/>
  <c r="D132" i="1"/>
  <c r="D135" i="1"/>
  <c r="F5" i="13" l="1"/>
  <c r="F12" i="13" s="1"/>
  <c r="F22" i="13" l="1"/>
  <c r="F24" i="13" s="1"/>
  <c r="C22" i="13"/>
  <c r="C24" i="13" s="1"/>
  <c r="E26" i="13" l="1"/>
</calcChain>
</file>

<file path=xl/sharedStrings.xml><?xml version="1.0" encoding="utf-8"?>
<sst xmlns="http://schemas.openxmlformats.org/spreadsheetml/2006/main" count="1387" uniqueCount="162">
  <si>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</si>
  <si>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</si>
  <si>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</si>
  <si>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</si>
  <si>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</si>
  <si>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</si>
  <si>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</si>
  <si>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</si>
  <si>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</si>
  <si>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</si>
  <si>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</si>
  <si>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</si>
  <si>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</si>
  <si>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</si>
  <si>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</si>
  <si>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</si>
  <si>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</si>
  <si>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</si>
  <si>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</si>
  <si>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</si>
  <si>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</si>
  <si>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</si>
  <si>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</si>
  <si>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</si>
  <si>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</si>
  <si>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</si>
  <si>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</si>
  <si>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</si>
  <si>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</si>
  <si>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</si>
  <si>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</si>
  <si>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</si>
  <si>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</si>
  <si>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</si>
  <si>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</si>
  <si>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</si>
  <si>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</si>
  <si>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</si>
  <si>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</si>
  <si>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</si>
  <si>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</si>
  <si>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</si>
  <si>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</si>
  <si>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</si>
  <si>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</si>
  <si>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</si>
  <si>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</si>
  <si>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</si>
  <si>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</si>
  <si>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</si>
  <si>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</si>
  <si>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</si>
  <si>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</si>
  <si>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</si>
  <si>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</si>
  <si>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</si>
  <si>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</si>
  <si>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</si>
  <si>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</si>
  <si>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</si>
  <si>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</si>
  <si>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</si>
  <si>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</si>
  <si>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</si>
  <si>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</si>
  <si>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</si>
  <si>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</si>
  <si>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</si>
  <si>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</si>
  <si>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</si>
  <si>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</si>
  <si>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</si>
  <si>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</si>
  <si>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</si>
  <si>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</si>
  <si>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</si>
  <si>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</si>
  <si>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</si>
  <si>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</si>
  <si>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</si>
  <si>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</si>
  <si>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</si>
  <si>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</si>
  <si>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</si>
  <si>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</si>
  <si>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</si>
  <si>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</si>
  <si>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</si>
  <si>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</si>
  <si>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</si>
  <si>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</si>
  <si>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</si>
  <si>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</si>
  <si>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</si>
  <si>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</si>
  <si>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</si>
  <si>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</si>
  <si>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</si>
  <si>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Multa do FGTS sobre o Aviso Prévio Indenizado</t>
  </si>
  <si>
    <t>Multa do FGTS sobre o Aviso Prévio Trabalhado</t>
  </si>
  <si>
    <t>posto de serviço</t>
  </si>
  <si>
    <t>Assistência Médica</t>
  </si>
  <si>
    <t>Assistência Odontológica</t>
  </si>
  <si>
    <t>Seguro de Vida</t>
  </si>
  <si>
    <t>Horas Extras</t>
  </si>
  <si>
    <t>valores referenciais</t>
  </si>
  <si>
    <t>posto</t>
  </si>
  <si>
    <t>remuneração</t>
  </si>
  <si>
    <t>por hora</t>
  </si>
  <si>
    <t>13º, férias e adicional</t>
  </si>
  <si>
    <t>subtotal 1</t>
  </si>
  <si>
    <t>encargos sociais e trabalhistas</t>
  </si>
  <si>
    <t>subtotal 2</t>
  </si>
  <si>
    <t>custo hora normal</t>
  </si>
  <si>
    <t>hora extra dias úteis, inclusive sábados</t>
  </si>
  <si>
    <t>hora extra domingos e feriados</t>
  </si>
  <si>
    <t>custo com horas extras</t>
  </si>
  <si>
    <t>segundas às sextas</t>
  </si>
  <si>
    <t>sábados</t>
  </si>
  <si>
    <t>domingos e feriados</t>
  </si>
  <si>
    <t>total por posto</t>
  </si>
  <si>
    <t>total</t>
  </si>
  <si>
    <t>custo com vale transporte na prestação de horas extras</t>
  </si>
  <si>
    <t>valor unitário</t>
  </si>
  <si>
    <t>por dia</t>
  </si>
  <si>
    <t>custos indiretos, lucro e tributos</t>
  </si>
  <si>
    <t>custo diário com vale transporte, por posto</t>
  </si>
  <si>
    <t>custo total na prestação de horas extras</t>
  </si>
  <si>
    <t>horas extras</t>
  </si>
  <si>
    <t>vale transporte</t>
  </si>
  <si>
    <t>Total Estimado:</t>
  </si>
  <si>
    <t>ano eleitoral</t>
  </si>
  <si>
    <t>Quadro resumo - valor total estimado</t>
  </si>
  <si>
    <t>Postos regulares</t>
  </si>
  <si>
    <t>item</t>
  </si>
  <si>
    <t>especificação</t>
  </si>
  <si>
    <t>valor mensal unitário</t>
  </si>
  <si>
    <t>quantidade</t>
  </si>
  <si>
    <t>valor mensal</t>
  </si>
  <si>
    <t>valor anual</t>
  </si>
  <si>
    <t>valor total</t>
  </si>
  <si>
    <t>ano não eleitoral</t>
  </si>
  <si>
    <t>Valores Anuais</t>
  </si>
  <si>
    <t>Valor Total Estimado - 24 meses [ A + B ]</t>
  </si>
  <si>
    <r>
      <t xml:space="preserve">valor anual </t>
    </r>
    <r>
      <rPr>
        <b/>
        <sz val="11"/>
        <color theme="1"/>
        <rFont val="Times New Roman"/>
        <family val="1"/>
      </rPr>
      <t>[ A ]</t>
    </r>
  </si>
  <si>
    <r>
      <t xml:space="preserve">valor anual </t>
    </r>
    <r>
      <rPr>
        <b/>
        <sz val="11"/>
        <color theme="1"/>
        <rFont val="Times New Roman"/>
        <family val="1"/>
      </rPr>
      <t>[ B ]</t>
    </r>
  </si>
  <si>
    <t xml:space="preserve">Assistente de Rotinas Administrativas </t>
  </si>
  <si>
    <t>4110-10</t>
  </si>
  <si>
    <t>Auxiliar Administrativo I</t>
  </si>
  <si>
    <t>Auxiliar Administrativo II</t>
  </si>
  <si>
    <t>4110-05</t>
  </si>
  <si>
    <t>Auxiliar Administrativo III</t>
  </si>
  <si>
    <t>Gerente de Serviços</t>
  </si>
  <si>
    <t>1421-05</t>
  </si>
  <si>
    <t>Subgerente de Serviços</t>
  </si>
  <si>
    <t>Estatístico</t>
  </si>
  <si>
    <t>2112-05</t>
  </si>
  <si>
    <t>Ano Eleitoral</t>
  </si>
  <si>
    <t>Ano Não Eleitoral</t>
  </si>
  <si>
    <t>custo com vale alimentação na prestação de horas extras</t>
  </si>
  <si>
    <t>custo diário com vale alimentação, por posto</t>
  </si>
  <si>
    <t>vale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</si>
</sst>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\-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 val="singleAccounting"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8" fillId="0" borderId="0" xfId="0" applyFont="1" applyAlignment="1">
      <alignment vertical="top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vertical="top" wrapText="1"/>
    </xf>
    <xf numFmtId="0" fontId="8" fillId="0" borderId="2" xfId="0" applyFont="1" applyBorder="1" applyAlignment="1">
      <alignment vertical="top"/>
    </xf>
    <xf numFmtId="43" fontId="8" fillId="0" borderId="3" xfId="0" applyNumberFormat="1" applyFont="1" applyBorder="1" applyAlignment="1">
      <alignment vertical="top"/>
    </xf>
    <xf numFmtId="10" fontId="8" fillId="0" borderId="2" xfId="0" applyNumberFormat="1" applyFont="1" applyBorder="1" applyAlignment="1">
      <alignment vertical="top"/>
    </xf>
    <xf numFmtId="9" fontId="8" fillId="0" borderId="2" xfId="0" applyNumberFormat="1" applyFont="1" applyBorder="1" applyAlignment="1">
      <alignment vertical="top"/>
    </xf>
    <xf numFmtId="0" fontId="8" fillId="0" borderId="6" xfId="0" applyFont="1" applyBorder="1" applyAlignment="1">
      <alignment vertical="top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43" fontId="9" fillId="0" borderId="3" xfId="0" applyNumberFormat="1" applyFont="1" applyBorder="1" applyAlignment="1">
      <alignment vertical="top"/>
    </xf>
    <xf numFmtId="0" fontId="9" fillId="0" borderId="0" xfId="0" applyFont="1" applyAlignment="1">
      <alignment vertical="top"/>
    </xf>
    <xf numFmtId="0" fontId="8" fillId="0" borderId="0" xfId="0" applyFont="1" applyAlignment="1">
      <alignment horizontal="center" vertical="top" wrapText="1"/>
    </xf>
    <xf numFmtId="43" fontId="10" fillId="0" borderId="0" xfId="10" applyFont="1" applyAlignment="1">
      <alignment vertical="top"/>
    </xf>
    <xf numFmtId="0" fontId="8" fillId="0" borderId="4" xfId="0" applyFont="1" applyBorder="1" applyAlignment="1">
      <alignment horizontal="center" vertical="top"/>
    </xf>
    <xf numFmtId="0" fontId="8" fillId="0" borderId="4" xfId="0" applyFont="1" applyBorder="1" applyAlignment="1">
      <alignment vertical="top"/>
    </xf>
    <xf numFmtId="0" fontId="8" fillId="0" borderId="1" xfId="0" applyFont="1" applyBorder="1" applyAlignment="1">
      <alignment horizontal="center" vertical="top"/>
    </xf>
    <xf numFmtId="43" fontId="8" fillId="0" borderId="1" xfId="10" applyFont="1" applyBorder="1" applyAlignment="1">
      <alignment vertical="top"/>
    </xf>
    <xf numFmtId="0" fontId="8" fillId="0" borderId="1" xfId="0" applyFont="1" applyBorder="1" applyAlignment="1">
      <alignment horizontal="center" vertical="top" wrapText="1"/>
    </xf>
    <xf numFmtId="43" fontId="8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horizontal="center" vertical="top"/>
    </xf>
    <xf numFmtId="43" fontId="9" fillId="0" borderId="1" xfId="0" applyNumberFormat="1" applyFont="1" applyBorder="1" applyAlignment="1">
      <alignment vertical="top"/>
    </xf>
    <xf numFmtId="43" fontId="9" fillId="0" borderId="1" xfId="10" applyFont="1" applyBorder="1" applyAlignment="1">
      <alignment vertical="top"/>
    </xf>
    <xf numFmtId="0" fontId="8" fillId="0" borderId="4" xfId="0" applyFont="1" applyBorder="1" applyAlignment="1">
      <alignment horizontal="right" vertical="top"/>
    </xf>
    <xf numFmtId="43" fontId="8" fillId="0" borderId="5" xfId="0" applyNumberFormat="1" applyFont="1" applyBorder="1" applyAlignment="1">
      <alignment vertical="top"/>
    </xf>
    <xf numFmtId="0" fontId="8" fillId="0" borderId="0" xfId="0" applyFont="1" applyAlignment="1">
      <alignment vertical="top" wrapText="1"/>
    </xf>
    <xf numFmtId="0" fontId="8" fillId="0" borderId="1" xfId="0" applyFont="1" applyBorder="1" applyAlignment="1">
      <alignment vertical="top" shrinkToFit="1"/>
    </xf>
    <xf numFmtId="0" fontId="8" fillId="0" borderId="2" xfId="0" applyFont="1" applyBorder="1" applyAlignment="1">
      <alignment vertical="top" shrinkToFit="1"/>
    </xf>
    <xf numFmtId="43" fontId="8" fillId="0" borderId="3" xfId="0" applyNumberFormat="1" applyFont="1" applyBorder="1" applyAlignment="1">
      <alignment vertical="top" shrinkToFit="1"/>
    </xf>
    <xf numFmtId="0" fontId="8" fillId="0" borderId="0" xfId="0" applyFont="1" applyBorder="1" applyAlignment="1">
      <alignment horizontal="center" vertical="top"/>
    </xf>
    <xf numFmtId="43" fontId="8" fillId="0" borderId="1" xfId="0" applyNumberFormat="1" applyFont="1" applyBorder="1" applyAlignment="1">
      <alignment vertical="top" wrapText="1"/>
    </xf>
    <xf numFmtId="43" fontId="8" fillId="0" borderId="1" xfId="1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5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14" fontId="4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9" fillId="0" borderId="0" xfId="0" applyFont="1" applyBorder="1" applyAlignment="1">
      <alignment horizontal="right" vertical="top"/>
    </xf>
  </cellXfs>
  <cellStyles count="12">
    <cellStyle name="Normal" xfId="0" builtinId="0"/>
    <cellStyle name="Normal 2" xfId="1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tabSelected="1" view="pageBreakPreview" zoomScaleNormal="115" zoomScaleSheetLayoutView="100" workbookViewId="0">
      <selection activeCell="B13" sqref="B1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4" t="s">
        <v>0</v>
      </c>
      <c r="B1" s="74"/>
      <c r="C1" s="74"/>
      <c r="D1" s="74"/>
    </row>
    <row r="2" spans="1:4" ht="15.75" x14ac:dyDescent="0.25">
      <c r="A2" s="26"/>
      <c r="B2" s="26"/>
      <c r="C2" s="26"/>
      <c r="D2" s="26"/>
    </row>
    <row r="3" spans="1:4" x14ac:dyDescent="0.2">
      <c r="A3" s="76" t="s">
        <v>88</v>
      </c>
      <c r="B3" s="76"/>
      <c r="C3" s="76"/>
      <c r="D3" s="76"/>
    </row>
    <row r="4" spans="1:4" x14ac:dyDescent="0.2">
      <c r="A4" s="2"/>
      <c r="B4" s="2"/>
      <c r="C4" s="2"/>
      <c r="D4" s="2"/>
    </row>
    <row r="5" spans="1:4" ht="38.25" x14ac:dyDescent="0.2">
      <c r="A5" s="77" t="s">
        <v>89</v>
      </c>
      <c r="B5" s="77"/>
      <c r="C5" s="7" t="s">
        <v>90</v>
      </c>
      <c r="D5" s="27" t="s">
        <v>91</v>
      </c>
    </row>
    <row r="6" spans="1:4" x14ac:dyDescent="0.2">
      <c r="A6" s="84" t="s">
        <v>146</v>
      </c>
      <c r="B6" s="84"/>
      <c r="C6" s="33" t="s">
        <v>100</v>
      </c>
      <c r="D6" s="33">
        <v>22</v>
      </c>
    </row>
    <row r="8" spans="1:4" x14ac:dyDescent="0.2">
      <c r="A8" s="76" t="s">
        <v>72</v>
      </c>
      <c r="B8" s="76"/>
      <c r="C8" s="76"/>
      <c r="D8" s="76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85" t="s">
        <v>146</v>
      </c>
      <c r="D10" s="86"/>
    </row>
    <row r="11" spans="1:4" x14ac:dyDescent="0.2">
      <c r="A11" s="5">
        <v>2</v>
      </c>
      <c r="B11" s="5" t="s">
        <v>92</v>
      </c>
      <c r="C11" s="85" t="s">
        <v>147</v>
      </c>
      <c r="D11" s="86"/>
    </row>
    <row r="12" spans="1:4" x14ac:dyDescent="0.2">
      <c r="A12" s="5">
        <v>3</v>
      </c>
      <c r="B12" s="5" t="s">
        <v>74</v>
      </c>
      <c r="C12" s="87"/>
      <c r="D12" s="88"/>
    </row>
    <row r="13" spans="1:4" x14ac:dyDescent="0.2">
      <c r="A13" s="5">
        <v>4</v>
      </c>
      <c r="B13" s="5" t="s">
        <v>75</v>
      </c>
      <c r="C13" s="85"/>
      <c r="D13" s="86"/>
    </row>
    <row r="14" spans="1:4" x14ac:dyDescent="0.2">
      <c r="A14" s="5">
        <v>5</v>
      </c>
      <c r="B14" s="5" t="s">
        <v>76</v>
      </c>
      <c r="C14" s="89"/>
      <c r="D14" s="86"/>
    </row>
    <row r="16" spans="1:4" x14ac:dyDescent="0.2">
      <c r="A16" s="76" t="s">
        <v>1</v>
      </c>
      <c r="B16" s="76"/>
      <c r="C16" s="76"/>
      <c r="D16" s="76"/>
    </row>
    <row r="18" spans="1:4" x14ac:dyDescent="0.2">
      <c r="A18" s="6">
        <v>1</v>
      </c>
      <c r="B18" s="70" t="s">
        <v>2</v>
      </c>
      <c r="C18" s="70"/>
      <c r="D18" s="6" t="s">
        <v>3</v>
      </c>
    </row>
    <row r="19" spans="1:4" x14ac:dyDescent="0.2">
      <c r="A19" s="7" t="s">
        <v>4</v>
      </c>
      <c r="B19" s="69" t="s">
        <v>5</v>
      </c>
      <c r="C19" s="69"/>
      <c r="D19" s="13">
        <v>1691.93</v>
      </c>
    </row>
    <row r="20" spans="1:4" x14ac:dyDescent="0.2">
      <c r="A20" s="7" t="s">
        <v>6</v>
      </c>
      <c r="B20" s="69" t="s">
        <v>7</v>
      </c>
      <c r="C20" s="69"/>
      <c r="D20" s="13"/>
    </row>
    <row r="21" spans="1:4" x14ac:dyDescent="0.2">
      <c r="A21" s="7" t="s">
        <v>8</v>
      </c>
      <c r="B21" s="69" t="s">
        <v>9</v>
      </c>
      <c r="C21" s="69"/>
      <c r="D21" s="13"/>
    </row>
    <row r="22" spans="1:4" x14ac:dyDescent="0.2">
      <c r="A22" s="7" t="s">
        <v>10</v>
      </c>
      <c r="B22" s="69" t="s">
        <v>11</v>
      </c>
      <c r="C22" s="69"/>
      <c r="D22" s="13"/>
    </row>
    <row r="23" spans="1:4" x14ac:dyDescent="0.2">
      <c r="A23" s="7" t="s">
        <v>12</v>
      </c>
      <c r="B23" s="69" t="s">
        <v>13</v>
      </c>
      <c r="C23" s="69"/>
      <c r="D23" s="13"/>
    </row>
    <row r="24" spans="1:4" x14ac:dyDescent="0.2">
      <c r="A24" s="7"/>
      <c r="B24" s="69"/>
      <c r="C24" s="69"/>
      <c r="D24" s="13"/>
    </row>
    <row r="25" spans="1:4" x14ac:dyDescent="0.2">
      <c r="A25" s="7" t="s">
        <v>14</v>
      </c>
      <c r="B25" s="69" t="s">
        <v>15</v>
      </c>
      <c r="C25" s="69"/>
      <c r="D25" s="13"/>
    </row>
    <row r="26" spans="1:4" x14ac:dyDescent="0.2">
      <c r="A26" s="70" t="s">
        <v>16</v>
      </c>
      <c r="B26" s="70"/>
      <c r="C26" s="70"/>
      <c r="D26" s="20">
        <f>SUM(D19:D25)</f>
        <v>1691.93</v>
      </c>
    </row>
    <row r="29" spans="1:4" x14ac:dyDescent="0.2">
      <c r="A29" s="73" t="s">
        <v>17</v>
      </c>
      <c r="B29" s="73"/>
      <c r="C29" s="73"/>
      <c r="D29" s="73"/>
    </row>
    <row r="30" spans="1:4" x14ac:dyDescent="0.2">
      <c r="A30" s="3"/>
    </row>
    <row r="31" spans="1:4" x14ac:dyDescent="0.2">
      <c r="A31" s="71" t="s">
        <v>18</v>
      </c>
      <c r="B31" s="71"/>
      <c r="C31" s="71"/>
      <c r="D31" s="71"/>
    </row>
    <row r="33" spans="1:4" x14ac:dyDescent="0.2">
      <c r="A33" s="6" t="s">
        <v>19</v>
      </c>
      <c r="B33" s="70" t="s">
        <v>20</v>
      </c>
      <c r="C33" s="70"/>
      <c r="D33" s="6" t="s">
        <v>3</v>
      </c>
    </row>
    <row r="34" spans="1:4" x14ac:dyDescent="0.2">
      <c r="A34" s="7" t="s">
        <v>4</v>
      </c>
      <c r="B34" s="8" t="s">
        <v>21</v>
      </c>
      <c r="C34" s="12">
        <f>TRUNC(1/12,4)</f>
        <v>8.3299999999999999E-2</v>
      </c>
      <c r="D34" s="13">
        <f>TRUNC($D$26*C34,2)</f>
        <v>140.93</v>
      </c>
    </row>
    <row r="35" spans="1:4" x14ac:dyDescent="0.2">
      <c r="A35" s="7" t="s">
        <v>6</v>
      </c>
      <c r="B35" s="8" t="s">
        <v>22</v>
      </c>
      <c r="C35" s="12">
        <f>TRUNC(((1+1/3)/12),4)</f>
        <v>0.1111</v>
      </c>
      <c r="D35" s="13">
        <f>TRUNC($D$26*C35,2)</f>
        <v>187.97</v>
      </c>
    </row>
    <row r="36" spans="1:4" x14ac:dyDescent="0.2">
      <c r="A36" s="70" t="s">
        <v>16</v>
      </c>
      <c r="B36" s="70"/>
      <c r="C36" s="28">
        <f>SUM(C34:C35)</f>
        <v>0.19440000000000002</v>
      </c>
      <c r="D36" s="19">
        <f>SUM(D34:D35)</f>
        <v>328.9</v>
      </c>
    </row>
    <row r="39" spans="1:4" x14ac:dyDescent="0.2">
      <c r="A39" s="75" t="s">
        <v>23</v>
      </c>
      <c r="B39" s="75"/>
      <c r="C39" s="75"/>
      <c r="D39" s="75"/>
    </row>
    <row r="41" spans="1:4" x14ac:dyDescent="0.2">
      <c r="A41" s="6" t="s">
        <v>24</v>
      </c>
      <c r="B41" s="6" t="s">
        <v>25</v>
      </c>
      <c r="C41" s="6" t="s">
        <v>26</v>
      </c>
      <c r="D41" s="6" t="s">
        <v>3</v>
      </c>
    </row>
    <row r="42" spans="1:4" x14ac:dyDescent="0.2">
      <c r="A42" s="7" t="s">
        <v>4</v>
      </c>
      <c r="B42" s="8" t="s">
        <v>27</v>
      </c>
      <c r="C42" s="9">
        <v>0.2</v>
      </c>
      <c r="D42" s="13">
        <f>TRUNC(($D$26+$D$36)*C42,2)</f>
        <v>404.16</v>
      </c>
    </row>
    <row r="43" spans="1:4" x14ac:dyDescent="0.2">
      <c r="A43" s="7" t="s">
        <v>6</v>
      </c>
      <c r="B43" s="8" t="s">
        <v>28</v>
      </c>
      <c r="C43" s="9">
        <v>2.5000000000000001E-2</v>
      </c>
      <c r="D43" s="13">
        <f t="shared" ref="D43:D49" si="0">TRUNC(($D$26+$D$36)*C43,2)</f>
        <v>50.52</v>
      </c>
    </row>
    <row r="44" spans="1:4" x14ac:dyDescent="0.2">
      <c r="A44" s="7" t="s">
        <v>8</v>
      </c>
      <c r="B44" s="8" t="s">
        <v>29</v>
      </c>
      <c r="C44" s="16">
        <v>0.03</v>
      </c>
      <c r="D44" s="13">
        <f t="shared" si="0"/>
        <v>60.62</v>
      </c>
    </row>
    <row r="45" spans="1:4" x14ac:dyDescent="0.2">
      <c r="A45" s="7" t="s">
        <v>10</v>
      </c>
      <c r="B45" s="8" t="s">
        <v>30</v>
      </c>
      <c r="C45" s="9">
        <v>1.4999999999999999E-2</v>
      </c>
      <c r="D45" s="13">
        <f t="shared" si="0"/>
        <v>30.31</v>
      </c>
    </row>
    <row r="46" spans="1:4" x14ac:dyDescent="0.2">
      <c r="A46" s="7" t="s">
        <v>12</v>
      </c>
      <c r="B46" s="8" t="s">
        <v>31</v>
      </c>
      <c r="C46" s="9">
        <v>0.01</v>
      </c>
      <c r="D46" s="13">
        <f t="shared" si="0"/>
        <v>20.2</v>
      </c>
    </row>
    <row r="47" spans="1:4" x14ac:dyDescent="0.2">
      <c r="A47" s="7" t="s">
        <v>32</v>
      </c>
      <c r="B47" s="8" t="s">
        <v>33</v>
      </c>
      <c r="C47" s="9">
        <v>6.0000000000000001E-3</v>
      </c>
      <c r="D47" s="13">
        <f t="shared" si="0"/>
        <v>12.12</v>
      </c>
    </row>
    <row r="48" spans="1:4" x14ac:dyDescent="0.2">
      <c r="A48" s="7" t="s">
        <v>14</v>
      </c>
      <c r="B48" s="8" t="s">
        <v>34</v>
      </c>
      <c r="C48" s="9">
        <v>2E-3</v>
      </c>
      <c r="D48" s="13">
        <f t="shared" si="0"/>
        <v>4.04</v>
      </c>
    </row>
    <row r="49" spans="1:4" x14ac:dyDescent="0.2">
      <c r="A49" s="7" t="s">
        <v>35</v>
      </c>
      <c r="B49" s="8" t="s">
        <v>36</v>
      </c>
      <c r="C49" s="9">
        <v>0.08</v>
      </c>
      <c r="D49" s="13">
        <f t="shared" si="0"/>
        <v>161.66</v>
      </c>
    </row>
    <row r="50" spans="1:4" x14ac:dyDescent="0.2">
      <c r="A50" s="70" t="s">
        <v>37</v>
      </c>
      <c r="B50" s="70"/>
      <c r="C50" s="15">
        <f>SUM(C42:C49)</f>
        <v>0.36800000000000005</v>
      </c>
      <c r="D50" s="19">
        <f>SUM(D42:D49)</f>
        <v>743.62999999999988</v>
      </c>
    </row>
    <row r="53" spans="1:4" x14ac:dyDescent="0.2">
      <c r="A53" s="71" t="s">
        <v>38</v>
      </c>
      <c r="B53" s="71"/>
      <c r="C53" s="71"/>
      <c r="D53" s="71"/>
    </row>
    <row r="55" spans="1:4" x14ac:dyDescent="0.2">
      <c r="A55" s="6" t="s">
        <v>39</v>
      </c>
      <c r="B55" s="72" t="s">
        <v>40</v>
      </c>
      <c r="C55" s="72"/>
      <c r="D55" s="6" t="s">
        <v>3</v>
      </c>
    </row>
    <row r="56" spans="1:4" x14ac:dyDescent="0.2">
      <c r="A56" s="7" t="s">
        <v>4</v>
      </c>
      <c r="B56" s="69" t="s">
        <v>41</v>
      </c>
      <c r="C56" s="69"/>
      <c r="D56" s="13">
        <f>IF((22*2*5.2)-(D19*0.06)&gt;0,(22*2*5.2)-(D19*0.06),0)</f>
        <v>127.28420000000001</v>
      </c>
    </row>
    <row r="57" spans="1:4" x14ac:dyDescent="0.2">
      <c r="A57" s="7" t="s">
        <v>6</v>
      </c>
      <c r="B57" s="69" t="s">
        <v>42</v>
      </c>
      <c r="C57" s="69"/>
      <c r="D57" s="13">
        <f>17*0.8*22</f>
        <v>299.20000000000005</v>
      </c>
    </row>
    <row r="58" spans="1:4" x14ac:dyDescent="0.2">
      <c r="A58" s="7" t="s">
        <v>8</v>
      </c>
      <c r="B58" s="69" t="s">
        <v>101</v>
      </c>
      <c r="C58" s="69"/>
      <c r="D58" s="13">
        <v>170</v>
      </c>
    </row>
    <row r="59" spans="1:4" x14ac:dyDescent="0.2">
      <c r="A59" s="32" t="s">
        <v>10</v>
      </c>
      <c r="B59" s="69" t="s">
        <v>102</v>
      </c>
      <c r="C59" s="69"/>
      <c r="D59" s="13">
        <v>14</v>
      </c>
    </row>
    <row r="60" spans="1:4" x14ac:dyDescent="0.2">
      <c r="A60" s="7" t="s">
        <v>10</v>
      </c>
      <c r="B60" s="69" t="s">
        <v>103</v>
      </c>
      <c r="C60" s="69"/>
      <c r="D60" s="13">
        <v>4.4800000000000004</v>
      </c>
    </row>
    <row r="61" spans="1:4" x14ac:dyDescent="0.2">
      <c r="A61" s="70" t="s">
        <v>16</v>
      </c>
      <c r="B61" s="70"/>
      <c r="C61" s="70"/>
      <c r="D61" s="19">
        <f>SUM(D56:D60)</f>
        <v>614.96420000000012</v>
      </c>
    </row>
    <row r="64" spans="1:4" x14ac:dyDescent="0.2">
      <c r="A64" s="71" t="s">
        <v>43</v>
      </c>
      <c r="B64" s="71"/>
      <c r="C64" s="71"/>
      <c r="D64" s="71"/>
    </row>
    <row r="66" spans="1:5" x14ac:dyDescent="0.2">
      <c r="A66" s="6">
        <v>2</v>
      </c>
      <c r="B66" s="72" t="s">
        <v>44</v>
      </c>
      <c r="C66" s="72"/>
      <c r="D66" s="6" t="s">
        <v>3</v>
      </c>
    </row>
    <row r="67" spans="1:5" x14ac:dyDescent="0.2">
      <c r="A67" s="7" t="s">
        <v>19</v>
      </c>
      <c r="B67" s="69" t="s">
        <v>20</v>
      </c>
      <c r="C67" s="69"/>
      <c r="D67" s="14">
        <f>D36</f>
        <v>328.9</v>
      </c>
    </row>
    <row r="68" spans="1:5" x14ac:dyDescent="0.2">
      <c r="A68" s="7" t="s">
        <v>24</v>
      </c>
      <c r="B68" s="69" t="s">
        <v>25</v>
      </c>
      <c r="C68" s="69"/>
      <c r="D68" s="14">
        <f>D50</f>
        <v>743.62999999999988</v>
      </c>
    </row>
    <row r="69" spans="1:5" x14ac:dyDescent="0.2">
      <c r="A69" s="7" t="s">
        <v>39</v>
      </c>
      <c r="B69" s="69" t="s">
        <v>40</v>
      </c>
      <c r="C69" s="69"/>
      <c r="D69" s="14">
        <f>D61</f>
        <v>614.96420000000012</v>
      </c>
    </row>
    <row r="70" spans="1:5" x14ac:dyDescent="0.2">
      <c r="A70" s="70" t="s">
        <v>16</v>
      </c>
      <c r="B70" s="70"/>
      <c r="C70" s="70"/>
      <c r="D70" s="19">
        <f>SUM(D67:D69)</f>
        <v>1687.4941999999999</v>
      </c>
    </row>
    <row r="71" spans="1:5" x14ac:dyDescent="0.2">
      <c r="A71" s="4"/>
      <c r="E71" s="18"/>
    </row>
    <row r="73" spans="1:5" x14ac:dyDescent="0.2">
      <c r="A73" s="73" t="s">
        <v>45</v>
      </c>
      <c r="B73" s="73"/>
      <c r="C73" s="73"/>
      <c r="D73" s="73"/>
      <c r="E73" s="17"/>
    </row>
    <row r="74" spans="1:5" ht="12.75" customHeight="1" x14ac:dyDescent="0.2">
      <c r="E74" s="18"/>
    </row>
    <row r="75" spans="1:5" x14ac:dyDescent="0.2">
      <c r="A75" s="6">
        <v>3</v>
      </c>
      <c r="B75" s="72" t="s">
        <v>46</v>
      </c>
      <c r="C75" s="72"/>
      <c r="D75" s="6" t="s">
        <v>3</v>
      </c>
    </row>
    <row r="76" spans="1:5" x14ac:dyDescent="0.2">
      <c r="A76" s="7" t="s">
        <v>4</v>
      </c>
      <c r="B76" s="10" t="s">
        <v>47</v>
      </c>
      <c r="C76" s="9">
        <f>TRUNC(((1/12)*5%),4)</f>
        <v>4.1000000000000003E-3</v>
      </c>
      <c r="D76" s="13">
        <f>TRUNC($D$26*C76,2)</f>
        <v>6.93</v>
      </c>
    </row>
    <row r="77" spans="1:5" x14ac:dyDescent="0.2">
      <c r="A77" s="7" t="s">
        <v>6</v>
      </c>
      <c r="B77" s="10" t="s">
        <v>48</v>
      </c>
      <c r="C77" s="9">
        <v>0.08</v>
      </c>
      <c r="D77" s="13">
        <f>TRUNC(D76*C77,2)</f>
        <v>0.55000000000000004</v>
      </c>
    </row>
    <row r="78" spans="1:5" x14ac:dyDescent="0.2">
      <c r="A78" s="7" t="s">
        <v>8</v>
      </c>
      <c r="B78" s="10" t="s">
        <v>98</v>
      </c>
      <c r="C78" s="9">
        <f>TRUNC(8%*5%*40%,4)</f>
        <v>1.6000000000000001E-3</v>
      </c>
      <c r="D78" s="13">
        <f>TRUNC($D$26*C78,2)</f>
        <v>2.7</v>
      </c>
    </row>
    <row r="79" spans="1:5" x14ac:dyDescent="0.2">
      <c r="A79" s="7" t="s">
        <v>10</v>
      </c>
      <c r="B79" s="10" t="s">
        <v>49</v>
      </c>
      <c r="C79" s="9">
        <f>TRUNC(((7/30)/12)*95%,4)</f>
        <v>1.84E-2</v>
      </c>
      <c r="D79" s="13">
        <f>TRUNC($D$26*C79,2)</f>
        <v>31.13</v>
      </c>
    </row>
    <row r="80" spans="1:5" ht="25.5" x14ac:dyDescent="0.2">
      <c r="A80" s="7" t="s">
        <v>12</v>
      </c>
      <c r="B80" s="10" t="s">
        <v>93</v>
      </c>
      <c r="C80" s="9">
        <f>C50</f>
        <v>0.36800000000000005</v>
      </c>
      <c r="D80" s="13">
        <f>TRUNC(D79*C80,2)</f>
        <v>11.45</v>
      </c>
    </row>
    <row r="81" spans="1:4" x14ac:dyDescent="0.2">
      <c r="A81" s="7" t="s">
        <v>32</v>
      </c>
      <c r="B81" s="10" t="s">
        <v>99</v>
      </c>
      <c r="C81" s="9">
        <f>TRUNC(8%*95%*40%,4)</f>
        <v>3.04E-2</v>
      </c>
      <c r="D81" s="13">
        <f t="shared" ref="D81" si="1">TRUNC($D$26*C81,2)</f>
        <v>51.43</v>
      </c>
    </row>
    <row r="82" spans="1:4" x14ac:dyDescent="0.2">
      <c r="A82" s="78" t="s">
        <v>16</v>
      </c>
      <c r="B82" s="79"/>
      <c r="C82" s="80"/>
      <c r="D82" s="19">
        <f>SUM(D76:D81)</f>
        <v>104.19</v>
      </c>
    </row>
    <row r="85" spans="1:4" x14ac:dyDescent="0.2">
      <c r="A85" s="73" t="s">
        <v>50</v>
      </c>
      <c r="B85" s="73"/>
      <c r="C85" s="73"/>
      <c r="D85" s="73"/>
    </row>
    <row r="88" spans="1:4" x14ac:dyDescent="0.2">
      <c r="A88" s="71" t="s">
        <v>77</v>
      </c>
      <c r="B88" s="71"/>
      <c r="C88" s="71"/>
      <c r="D88" s="71"/>
    </row>
    <row r="89" spans="1:4" x14ac:dyDescent="0.2">
      <c r="A89" s="3"/>
    </row>
    <row r="90" spans="1:4" x14ac:dyDescent="0.2">
      <c r="A90" s="6" t="s">
        <v>51</v>
      </c>
      <c r="B90" s="72" t="s">
        <v>78</v>
      </c>
      <c r="C90" s="72"/>
      <c r="D90" s="6" t="s">
        <v>3</v>
      </c>
    </row>
    <row r="91" spans="1:4" x14ac:dyDescent="0.2">
      <c r="A91" s="7" t="s">
        <v>4</v>
      </c>
      <c r="B91" s="8" t="s">
        <v>79</v>
      </c>
      <c r="C91" s="9">
        <f>TRUNC(((1+1/3)/12)/12,4)</f>
        <v>9.1999999999999998E-3</v>
      </c>
      <c r="D91" s="13">
        <f>TRUNC(($D$26+$D$70+$D$82)*C91,2)</f>
        <v>32.04</v>
      </c>
    </row>
    <row r="92" spans="1:4" x14ac:dyDescent="0.2">
      <c r="A92" s="7" t="s">
        <v>6</v>
      </c>
      <c r="B92" s="8" t="s">
        <v>80</v>
      </c>
      <c r="C92" s="9">
        <f>TRUNC(((2/30)/12),4)</f>
        <v>5.4999999999999997E-3</v>
      </c>
      <c r="D92" s="13">
        <f t="shared" ref="D92:D96" si="2">TRUNC(($D$26+$D$70+$D$82)*C92,2)</f>
        <v>19.149999999999999</v>
      </c>
    </row>
    <row r="93" spans="1:4" x14ac:dyDescent="0.2">
      <c r="A93" s="7" t="s">
        <v>8</v>
      </c>
      <c r="B93" s="8" t="s">
        <v>81</v>
      </c>
      <c r="C93" s="9">
        <f>TRUNC(((5/30)/12)*2%,4)</f>
        <v>2.0000000000000001E-4</v>
      </c>
      <c r="D93" s="13">
        <f t="shared" si="2"/>
        <v>0.69</v>
      </c>
    </row>
    <row r="94" spans="1:4" x14ac:dyDescent="0.2">
      <c r="A94" s="7" t="s">
        <v>10</v>
      </c>
      <c r="B94" s="8" t="s">
        <v>82</v>
      </c>
      <c r="C94" s="9">
        <f>TRUNC(((15/30)/12)*8%,4)</f>
        <v>3.3E-3</v>
      </c>
      <c r="D94" s="13">
        <f t="shared" si="2"/>
        <v>11.49</v>
      </c>
    </row>
    <row r="95" spans="1:4" x14ac:dyDescent="0.2">
      <c r="A95" s="7" t="s">
        <v>12</v>
      </c>
      <c r="B95" s="8" t="s">
        <v>83</v>
      </c>
      <c r="C95" s="9">
        <f>((1+1/3)/12)*3%*(4/12)</f>
        <v>1.1111111111111109E-3</v>
      </c>
      <c r="D95" s="13">
        <f t="shared" si="2"/>
        <v>3.87</v>
      </c>
    </row>
    <row r="96" spans="1:4" x14ac:dyDescent="0.2">
      <c r="A96" s="7" t="s">
        <v>32</v>
      </c>
      <c r="B96" s="8" t="s">
        <v>84</v>
      </c>
      <c r="C96" s="9"/>
      <c r="D96" s="13">
        <f t="shared" si="2"/>
        <v>0</v>
      </c>
    </row>
    <row r="97" spans="1:6" x14ac:dyDescent="0.2">
      <c r="A97" s="70" t="s">
        <v>37</v>
      </c>
      <c r="B97" s="70"/>
      <c r="C97" s="70"/>
      <c r="D97" s="19">
        <f>SUM(D91:D96)</f>
        <v>67.239999999999995</v>
      </c>
      <c r="E97" s="17"/>
      <c r="F97" s="17"/>
    </row>
    <row r="100" spans="1:6" x14ac:dyDescent="0.2">
      <c r="A100" s="71" t="s">
        <v>85</v>
      </c>
      <c r="B100" s="71"/>
      <c r="C100" s="71"/>
      <c r="D100" s="71"/>
    </row>
    <row r="101" spans="1:6" x14ac:dyDescent="0.2">
      <c r="A101" s="3"/>
    </row>
    <row r="102" spans="1:6" x14ac:dyDescent="0.2">
      <c r="A102" s="6" t="s">
        <v>52</v>
      </c>
      <c r="B102" s="72" t="s">
        <v>86</v>
      </c>
      <c r="C102" s="72"/>
      <c r="D102" s="6" t="s">
        <v>3</v>
      </c>
    </row>
    <row r="103" spans="1:6" x14ac:dyDescent="0.2">
      <c r="A103" s="7" t="s">
        <v>4</v>
      </c>
      <c r="B103" s="81" t="s">
        <v>87</v>
      </c>
      <c r="C103" s="82"/>
      <c r="D103" s="13">
        <f>((D26+D70+D82)/220)*22*0</f>
        <v>0</v>
      </c>
    </row>
    <row r="104" spans="1:6" x14ac:dyDescent="0.2">
      <c r="A104" s="70" t="s">
        <v>16</v>
      </c>
      <c r="B104" s="70"/>
      <c r="C104" s="70"/>
      <c r="D104" s="19">
        <f>SUM(D103)</f>
        <v>0</v>
      </c>
    </row>
    <row r="107" spans="1:6" x14ac:dyDescent="0.2">
      <c r="A107" s="71" t="s">
        <v>53</v>
      </c>
      <c r="B107" s="71"/>
      <c r="C107" s="71"/>
      <c r="D107" s="71"/>
    </row>
    <row r="108" spans="1:6" x14ac:dyDescent="0.2">
      <c r="A108" s="3"/>
    </row>
    <row r="109" spans="1:6" x14ac:dyDescent="0.2">
      <c r="A109" s="6">
        <v>4</v>
      </c>
      <c r="B109" s="70" t="s">
        <v>54</v>
      </c>
      <c r="C109" s="70"/>
      <c r="D109" s="6" t="s">
        <v>3</v>
      </c>
    </row>
    <row r="110" spans="1:6" x14ac:dyDescent="0.2">
      <c r="A110" s="7" t="s">
        <v>51</v>
      </c>
      <c r="B110" s="69" t="s">
        <v>78</v>
      </c>
      <c r="C110" s="69"/>
      <c r="D110" s="14">
        <f>D97</f>
        <v>67.239999999999995</v>
      </c>
    </row>
    <row r="111" spans="1:6" x14ac:dyDescent="0.2">
      <c r="A111" s="7" t="s">
        <v>52</v>
      </c>
      <c r="B111" s="69" t="s">
        <v>86</v>
      </c>
      <c r="C111" s="69"/>
      <c r="D111" s="14">
        <f>D104</f>
        <v>0</v>
      </c>
    </row>
    <row r="112" spans="1:6" x14ac:dyDescent="0.2">
      <c r="A112" s="70" t="s">
        <v>16</v>
      </c>
      <c r="B112" s="70"/>
      <c r="C112" s="70"/>
      <c r="D112" s="19">
        <f>SUM(D110:D111)</f>
        <v>67.239999999999995</v>
      </c>
    </row>
    <row r="115" spans="1:4" x14ac:dyDescent="0.2">
      <c r="A115" s="73" t="s">
        <v>55</v>
      </c>
      <c r="B115" s="73"/>
      <c r="C115" s="73"/>
      <c r="D115" s="73"/>
    </row>
    <row r="117" spans="1:4" x14ac:dyDescent="0.2">
      <c r="A117" s="6">
        <v>5</v>
      </c>
      <c r="B117" s="83" t="s">
        <v>56</v>
      </c>
      <c r="C117" s="83"/>
      <c r="D117" s="6" t="s">
        <v>3</v>
      </c>
    </row>
    <row r="118" spans="1:4" x14ac:dyDescent="0.2">
      <c r="A118" s="7" t="s">
        <v>4</v>
      </c>
      <c r="B118" s="8" t="s">
        <v>57</v>
      </c>
      <c r="C118" s="8"/>
      <c r="D118" s="13">
        <v>9.24</v>
      </c>
    </row>
    <row r="119" spans="1:4" x14ac:dyDescent="0.2">
      <c r="A119" s="7" t="s">
        <v>6</v>
      </c>
      <c r="B119" s="8" t="s">
        <v>58</v>
      </c>
      <c r="C119" s="8"/>
      <c r="D119" s="13">
        <v>4.93</v>
      </c>
    </row>
    <row r="120" spans="1:4" x14ac:dyDescent="0.2">
      <c r="A120" s="7" t="s">
        <v>8</v>
      </c>
      <c r="B120" s="8" t="s">
        <v>59</v>
      </c>
      <c r="C120" s="8"/>
      <c r="D120" s="13"/>
    </row>
    <row r="121" spans="1:4" x14ac:dyDescent="0.2">
      <c r="A121" s="7" t="s">
        <v>10</v>
      </c>
      <c r="B121" s="8" t="s">
        <v>15</v>
      </c>
      <c r="C121" s="8"/>
      <c r="D121" s="13"/>
    </row>
    <row r="122" spans="1:4" x14ac:dyDescent="0.2">
      <c r="A122" s="70" t="s">
        <v>37</v>
      </c>
      <c r="B122" s="70"/>
      <c r="C122" s="70"/>
      <c r="D122" s="20">
        <f>SUM(D118:D121)</f>
        <v>14.17</v>
      </c>
    </row>
    <row r="125" spans="1:4" x14ac:dyDescent="0.2">
      <c r="A125" s="73" t="s">
        <v>60</v>
      </c>
      <c r="B125" s="73"/>
      <c r="C125" s="73"/>
      <c r="D125" s="73"/>
    </row>
    <row r="127" spans="1:4" x14ac:dyDescent="0.2">
      <c r="A127" s="6">
        <v>6</v>
      </c>
      <c r="B127" s="11" t="s">
        <v>61</v>
      </c>
      <c r="C127" s="6" t="s">
        <v>26</v>
      </c>
      <c r="D127" s="6" t="s">
        <v>3</v>
      </c>
    </row>
    <row r="128" spans="1:4" x14ac:dyDescent="0.2">
      <c r="A128" s="7" t="s">
        <v>4</v>
      </c>
      <c r="B128" s="8" t="s">
        <v>62</v>
      </c>
      <c r="C128" s="9">
        <v>0.02</v>
      </c>
      <c r="D128" s="14">
        <f>D148*C128</f>
        <v>71.300483999999997</v>
      </c>
    </row>
    <row r="129" spans="1:4" x14ac:dyDescent="0.2">
      <c r="A129" s="7" t="s">
        <v>6</v>
      </c>
      <c r="B129" s="8" t="s">
        <v>63</v>
      </c>
      <c r="C129" s="9">
        <v>0.03</v>
      </c>
      <c r="D129" s="13">
        <f>(D148+D128)*C129</f>
        <v>109.08974051999999</v>
      </c>
    </row>
    <row r="130" spans="1:4" x14ac:dyDescent="0.2">
      <c r="A130" s="7" t="s">
        <v>8</v>
      </c>
      <c r="B130" s="8" t="s">
        <v>64</v>
      </c>
      <c r="C130" s="12">
        <f>SUM(C131:C136)</f>
        <v>8.6499999999999994E-2</v>
      </c>
      <c r="D130" s="13">
        <f>(D148+D128+D129)*C130/(1-C130)</f>
        <v>354.65610040610829</v>
      </c>
    </row>
    <row r="131" spans="1:4" x14ac:dyDescent="0.2">
      <c r="A131" s="7"/>
      <c r="B131" s="8" t="s">
        <v>65</v>
      </c>
      <c r="C131" s="9"/>
      <c r="D131" s="14">
        <f>$D$150*C131</f>
        <v>0</v>
      </c>
    </row>
    <row r="132" spans="1:4" x14ac:dyDescent="0.2">
      <c r="A132" s="7"/>
      <c r="B132" s="25" t="s">
        <v>95</v>
      </c>
      <c r="C132" s="9">
        <v>6.4999999999999997E-3</v>
      </c>
      <c r="D132" s="14">
        <f t="shared" ref="D132:D133" si="3">$D$150*C132</f>
        <v>26.650454999999997</v>
      </c>
    </row>
    <row r="133" spans="1:4" x14ac:dyDescent="0.2">
      <c r="A133" s="7"/>
      <c r="B133" s="25" t="s">
        <v>96</v>
      </c>
      <c r="C133" s="9">
        <v>0.03</v>
      </c>
      <c r="D133" s="14">
        <f t="shared" si="3"/>
        <v>123.00209999999998</v>
      </c>
    </row>
    <row r="134" spans="1:4" x14ac:dyDescent="0.2">
      <c r="A134" s="7"/>
      <c r="B134" s="8" t="s">
        <v>66</v>
      </c>
      <c r="C134" s="7"/>
      <c r="D134" s="14">
        <f t="shared" ref="D134:D135" si="4">$D$150*C134</f>
        <v>0</v>
      </c>
    </row>
    <row r="135" spans="1:4" x14ac:dyDescent="0.2">
      <c r="A135" s="7"/>
      <c r="B135" s="8" t="s">
        <v>67</v>
      </c>
      <c r="C135" s="9"/>
      <c r="D135" s="14">
        <f t="shared" si="4"/>
        <v>0</v>
      </c>
    </row>
    <row r="136" spans="1:4" x14ac:dyDescent="0.2">
      <c r="A136" s="7"/>
      <c r="B136" s="25" t="s">
        <v>97</v>
      </c>
      <c r="C136" s="9">
        <v>0.05</v>
      </c>
      <c r="D136" s="14">
        <f t="shared" ref="D136" si="5">$D$150*C136</f>
        <v>205.0035</v>
      </c>
    </row>
    <row r="137" spans="1:4" ht="13.5" x14ac:dyDescent="0.2">
      <c r="A137" s="78" t="s">
        <v>37</v>
      </c>
      <c r="B137" s="79"/>
      <c r="C137" s="21">
        <f>(1+C129)*(1+C128)/(1-C130)-1</f>
        <v>0.15008210180623971</v>
      </c>
      <c r="D137" s="19">
        <f>SUM(D128:D130)</f>
        <v>535.04632492610835</v>
      </c>
    </row>
    <row r="140" spans="1:4" x14ac:dyDescent="0.2">
      <c r="A140" s="73" t="s">
        <v>68</v>
      </c>
      <c r="B140" s="73"/>
      <c r="C140" s="73"/>
      <c r="D140" s="73"/>
    </row>
    <row r="142" spans="1:4" x14ac:dyDescent="0.2">
      <c r="A142" s="6"/>
      <c r="B142" s="70" t="s">
        <v>69</v>
      </c>
      <c r="C142" s="70"/>
      <c r="D142" s="6" t="s">
        <v>3</v>
      </c>
    </row>
    <row r="143" spans="1:4" x14ac:dyDescent="0.2">
      <c r="A143" s="6" t="s">
        <v>4</v>
      </c>
      <c r="B143" s="69" t="s">
        <v>1</v>
      </c>
      <c r="C143" s="69"/>
      <c r="D143" s="22">
        <f>D26</f>
        <v>1691.93</v>
      </c>
    </row>
    <row r="144" spans="1:4" x14ac:dyDescent="0.2">
      <c r="A144" s="6" t="s">
        <v>6</v>
      </c>
      <c r="B144" s="69" t="s">
        <v>17</v>
      </c>
      <c r="C144" s="69"/>
      <c r="D144" s="22">
        <f>D70</f>
        <v>1687.4941999999999</v>
      </c>
    </row>
    <row r="145" spans="1:4" x14ac:dyDescent="0.2">
      <c r="A145" s="6" t="s">
        <v>8</v>
      </c>
      <c r="B145" s="69" t="s">
        <v>45</v>
      </c>
      <c r="C145" s="69"/>
      <c r="D145" s="22">
        <f>D82</f>
        <v>104.19</v>
      </c>
    </row>
    <row r="146" spans="1:4" x14ac:dyDescent="0.2">
      <c r="A146" s="6" t="s">
        <v>10</v>
      </c>
      <c r="B146" s="69" t="s">
        <v>50</v>
      </c>
      <c r="C146" s="69"/>
      <c r="D146" s="22">
        <f>D112</f>
        <v>67.239999999999995</v>
      </c>
    </row>
    <row r="147" spans="1:4" x14ac:dyDescent="0.2">
      <c r="A147" s="6" t="s">
        <v>12</v>
      </c>
      <c r="B147" s="69" t="s">
        <v>55</v>
      </c>
      <c r="C147" s="69"/>
      <c r="D147" s="22">
        <f>D122</f>
        <v>14.17</v>
      </c>
    </row>
    <row r="148" spans="1:4" x14ac:dyDescent="0.2">
      <c r="A148" s="70" t="s">
        <v>94</v>
      </c>
      <c r="B148" s="70"/>
      <c r="C148" s="70"/>
      <c r="D148" s="23">
        <f>SUM(D143:D147)</f>
        <v>3565.0241999999998</v>
      </c>
    </row>
    <row r="149" spans="1:4" x14ac:dyDescent="0.2">
      <c r="A149" s="6" t="s">
        <v>32</v>
      </c>
      <c r="B149" s="69" t="s">
        <v>70</v>
      </c>
      <c r="C149" s="69"/>
      <c r="D149" s="24">
        <f>D137</f>
        <v>535.04632492610835</v>
      </c>
    </row>
    <row r="150" spans="1:4" x14ac:dyDescent="0.2">
      <c r="A150" s="70" t="s">
        <v>71</v>
      </c>
      <c r="B150" s="70"/>
      <c r="C150" s="70"/>
      <c r="D150" s="23">
        <f>ROUND(SUM(D148:D149),2)</f>
        <v>4100.07</v>
      </c>
    </row>
  </sheetData>
  <mergeCells count="71">
    <mergeCell ref="A6:B6"/>
    <mergeCell ref="C11:D11"/>
    <mergeCell ref="A36:B36"/>
    <mergeCell ref="B21:C21"/>
    <mergeCell ref="C10:D10"/>
    <mergeCell ref="C12:D12"/>
    <mergeCell ref="C13:D13"/>
    <mergeCell ref="C14:D14"/>
    <mergeCell ref="A16:D16"/>
    <mergeCell ref="A29:D29"/>
    <mergeCell ref="B149:C149"/>
    <mergeCell ref="A150:C150"/>
    <mergeCell ref="A125:D125"/>
    <mergeCell ref="B103:C103"/>
    <mergeCell ref="B111:C111"/>
    <mergeCell ref="A112:C112"/>
    <mergeCell ref="A115:D115"/>
    <mergeCell ref="B117:C117"/>
    <mergeCell ref="A122:C122"/>
    <mergeCell ref="A137:B137"/>
    <mergeCell ref="A140:D140"/>
    <mergeCell ref="B142:C142"/>
    <mergeCell ref="B143:C143"/>
    <mergeCell ref="B144:C144"/>
    <mergeCell ref="B145:C145"/>
    <mergeCell ref="B146:C146"/>
    <mergeCell ref="B102:C102"/>
    <mergeCell ref="A104:C104"/>
    <mergeCell ref="A107:D107"/>
    <mergeCell ref="B109:C109"/>
    <mergeCell ref="B110:C110"/>
    <mergeCell ref="A88:D88"/>
    <mergeCell ref="B90:C90"/>
    <mergeCell ref="B58:C58"/>
    <mergeCell ref="B60:C60"/>
    <mergeCell ref="A61:C61"/>
    <mergeCell ref="A85:D85"/>
    <mergeCell ref="A82:C82"/>
    <mergeCell ref="B59:C59"/>
    <mergeCell ref="A1:D1"/>
    <mergeCell ref="A39:D39"/>
    <mergeCell ref="A50:B50"/>
    <mergeCell ref="A31:D31"/>
    <mergeCell ref="B33:C33"/>
    <mergeCell ref="B22:C22"/>
    <mergeCell ref="B23:C23"/>
    <mergeCell ref="B25:C25"/>
    <mergeCell ref="B24:C24"/>
    <mergeCell ref="A26:C26"/>
    <mergeCell ref="A8:D8"/>
    <mergeCell ref="B18:C18"/>
    <mergeCell ref="B19:C19"/>
    <mergeCell ref="B20:C20"/>
    <mergeCell ref="A3:D3"/>
    <mergeCell ref="A5:B5"/>
    <mergeCell ref="B147:C147"/>
    <mergeCell ref="A148:C148"/>
    <mergeCell ref="A53:D53"/>
    <mergeCell ref="B55:C55"/>
    <mergeCell ref="B56:C56"/>
    <mergeCell ref="B57:C57"/>
    <mergeCell ref="A64:D64"/>
    <mergeCell ref="B66:C66"/>
    <mergeCell ref="B67:C67"/>
    <mergeCell ref="B68:C68"/>
    <mergeCell ref="B69:C69"/>
    <mergeCell ref="A70:C70"/>
    <mergeCell ref="A73:D73"/>
    <mergeCell ref="B75:C75"/>
    <mergeCell ref="A97:C97"/>
    <mergeCell ref="A100:D100"/>
  </mergeCells>
  <pageMargins left="0.51181102362204722" right="0.51181102362204722" top="1.102362204724409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zoomScaleNormal="100" zoomScaleSheetLayoutView="100" workbookViewId="0">
      <selection activeCell="K9" sqref="K9"/>
    </sheetView>
  </sheetViews>
  <sheetFormatPr defaultRowHeight="15" x14ac:dyDescent="0.25"/>
  <cols>
    <col min="1" max="1" width="10.7109375" style="34" customWidth="1"/>
    <col min="2" max="2" width="20.7109375" style="34" customWidth="1"/>
    <col min="3" max="6" width="15.7109375" style="34" customWidth="1"/>
    <col min="7" max="16384" width="9.140625" style="34"/>
  </cols>
  <sheetData>
    <row r="1" spans="1:6" x14ac:dyDescent="0.25">
      <c r="A1" s="48" t="s">
        <v>132</v>
      </c>
    </row>
    <row r="3" spans="1:6" x14ac:dyDescent="0.25">
      <c r="A3" s="48" t="s">
        <v>133</v>
      </c>
    </row>
    <row r="4" spans="1:6" s="49" customFormat="1" ht="30" x14ac:dyDescent="0.25">
      <c r="A4" s="55" t="s">
        <v>134</v>
      </c>
      <c r="B4" s="55" t="s">
        <v>135</v>
      </c>
      <c r="C4" s="55" t="s">
        <v>136</v>
      </c>
      <c r="D4" s="55" t="s">
        <v>137</v>
      </c>
      <c r="E4" s="55" t="s">
        <v>138</v>
      </c>
      <c r="F4" s="55" t="s">
        <v>139</v>
      </c>
    </row>
    <row r="5" spans="1:6" s="62" customFormat="1" ht="30" x14ac:dyDescent="0.25">
      <c r="A5" s="55">
        <v>1</v>
      </c>
      <c r="B5" s="36" t="str">
        <f>assrotadm!A6</f>
        <v xml:space="preserve">Assistente de Rotinas Administrativas </v>
      </c>
      <c r="C5" s="67">
        <f>assrotadm!D150</f>
        <v>4100.07</v>
      </c>
      <c r="D5" s="55">
        <f>assrotadm!D6</f>
        <v>22</v>
      </c>
      <c r="E5" s="68">
        <f>C5*D5</f>
        <v>90201.54</v>
      </c>
      <c r="F5" s="68">
        <f>E5*12</f>
        <v>1082418.48</v>
      </c>
    </row>
    <row r="6" spans="1:6" s="62" customFormat="1" ht="30" x14ac:dyDescent="0.25">
      <c r="A6" s="55">
        <v>2</v>
      </c>
      <c r="B6" s="36" t="str">
        <f>auxadm1!A6</f>
        <v>Auxiliar Administrativo I</v>
      </c>
      <c r="C6" s="67">
        <f>auxadm1!D150</f>
        <v>3588.33</v>
      </c>
      <c r="D6" s="55">
        <f>auxadm1!D6</f>
        <v>2</v>
      </c>
      <c r="E6" s="68">
        <f t="shared" ref="E6:E10" si="0">C6*D6</f>
        <v>7176.66</v>
      </c>
      <c r="F6" s="68">
        <f t="shared" ref="F6:F10" si="1">E6*12</f>
        <v>86119.92</v>
      </c>
    </row>
    <row r="7" spans="1:6" s="62" customFormat="1" ht="30" x14ac:dyDescent="0.25">
      <c r="A7" s="55">
        <v>3</v>
      </c>
      <c r="B7" s="36" t="str">
        <f>auxadm2!A6</f>
        <v>Auxiliar Administrativo II</v>
      </c>
      <c r="C7" s="67">
        <f>auxadm2!D150</f>
        <v>3876.25</v>
      </c>
      <c r="D7" s="55">
        <f>auxadm2!D6</f>
        <v>11</v>
      </c>
      <c r="E7" s="68">
        <f t="shared" si="0"/>
        <v>42638.75</v>
      </c>
      <c r="F7" s="68">
        <f t="shared" si="1"/>
        <v>511665</v>
      </c>
    </row>
    <row r="8" spans="1:6" s="62" customFormat="1" ht="30" x14ac:dyDescent="0.25">
      <c r="A8" s="55">
        <v>4</v>
      </c>
      <c r="B8" s="36" t="str">
        <f>auxadm3!A6</f>
        <v>Auxiliar Administrativo III</v>
      </c>
      <c r="C8" s="67">
        <f>auxadm3!D150</f>
        <v>5789.17</v>
      </c>
      <c r="D8" s="55">
        <f>auxadm3!D6</f>
        <v>3</v>
      </c>
      <c r="E8" s="68">
        <f t="shared" si="0"/>
        <v>17367.510000000002</v>
      </c>
      <c r="F8" s="68">
        <f t="shared" si="1"/>
        <v>208410.12000000002</v>
      </c>
    </row>
    <row r="9" spans="1:6" s="62" customFormat="1" x14ac:dyDescent="0.25">
      <c r="A9" s="55">
        <v>5</v>
      </c>
      <c r="B9" s="36" t="str">
        <f>gerser!A6</f>
        <v>Gerente de Serviços</v>
      </c>
      <c r="C9" s="67">
        <f>gerser!D150</f>
        <v>5315.95</v>
      </c>
      <c r="D9" s="55">
        <f>gerser!D6</f>
        <v>1</v>
      </c>
      <c r="E9" s="68">
        <f t="shared" si="0"/>
        <v>5315.95</v>
      </c>
      <c r="F9" s="68">
        <f t="shared" si="1"/>
        <v>63791.399999999994</v>
      </c>
    </row>
    <row r="10" spans="1:6" s="62" customFormat="1" ht="30" x14ac:dyDescent="0.25">
      <c r="A10" s="55">
        <v>6</v>
      </c>
      <c r="B10" s="36" t="str">
        <f>subgerser!A6</f>
        <v>Subgerente de Serviços</v>
      </c>
      <c r="C10" s="67">
        <f>subgerser!D150</f>
        <v>5255.24</v>
      </c>
      <c r="D10" s="55">
        <f>subgerser!D6</f>
        <v>1</v>
      </c>
      <c r="E10" s="68">
        <f t="shared" si="0"/>
        <v>5255.24</v>
      </c>
      <c r="F10" s="68">
        <f t="shared" si="1"/>
        <v>63062.879999999997</v>
      </c>
    </row>
    <row r="11" spans="1:6" s="62" customFormat="1" x14ac:dyDescent="0.25">
      <c r="A11" s="55">
        <v>7</v>
      </c>
      <c r="B11" s="36" t="str">
        <f>estat!A6</f>
        <v>Estatístico</v>
      </c>
      <c r="C11" s="67">
        <f>estat!D150</f>
        <v>7505.77</v>
      </c>
      <c r="D11" s="55">
        <f>estat!D6</f>
        <v>1</v>
      </c>
      <c r="E11" s="68">
        <f t="shared" ref="E11" si="2">C11*D11</f>
        <v>7505.77</v>
      </c>
      <c r="F11" s="68">
        <f t="shared" ref="F11" si="3">E11*12</f>
        <v>90069.24</v>
      </c>
    </row>
    <row r="12" spans="1:6" x14ac:dyDescent="0.25">
      <c r="D12" s="57">
        <f>SUM(D5:D11)</f>
        <v>41</v>
      </c>
      <c r="E12" s="58">
        <f>SUM(E5:E11)</f>
        <v>175461.42</v>
      </c>
      <c r="F12" s="58">
        <f>SUM(F5:F11)</f>
        <v>2105537.04</v>
      </c>
    </row>
    <row r="14" spans="1:6" x14ac:dyDescent="0.25">
      <c r="A14" s="48" t="s">
        <v>104</v>
      </c>
    </row>
    <row r="15" spans="1:6" x14ac:dyDescent="0.25">
      <c r="A15" s="53" t="s">
        <v>134</v>
      </c>
      <c r="B15" s="51" t="s">
        <v>135</v>
      </c>
      <c r="C15" s="52"/>
      <c r="D15" s="52"/>
      <c r="E15" s="52"/>
      <c r="F15" s="53" t="s">
        <v>140</v>
      </c>
    </row>
    <row r="16" spans="1:6" x14ac:dyDescent="0.25">
      <c r="A16" s="53">
        <v>8</v>
      </c>
      <c r="B16" s="52" t="str">
        <f>anehextra!A2</f>
        <v>Ano Não Eleitoral</v>
      </c>
      <c r="C16" s="52"/>
      <c r="D16" s="52"/>
      <c r="E16" s="52"/>
      <c r="F16" s="54">
        <f>anehextra!A53</f>
        <v>10634.81</v>
      </c>
    </row>
    <row r="17" spans="1:6" x14ac:dyDescent="0.25">
      <c r="A17" s="53">
        <v>9</v>
      </c>
      <c r="B17" s="52" t="str">
        <f>aehextra!A2</f>
        <v>Ano Eleitoral</v>
      </c>
      <c r="C17" s="52"/>
      <c r="D17" s="52"/>
      <c r="E17" s="52"/>
      <c r="F17" s="54">
        <f>aehextra!A53</f>
        <v>133203.94</v>
      </c>
    </row>
    <row r="18" spans="1:6" x14ac:dyDescent="0.25">
      <c r="A18" s="66"/>
      <c r="B18" s="46"/>
      <c r="C18" s="46"/>
      <c r="D18" s="46"/>
      <c r="E18" s="46"/>
      <c r="F18" s="59">
        <f>SUM(F16:F17)</f>
        <v>143838.75</v>
      </c>
    </row>
    <row r="20" spans="1:6" x14ac:dyDescent="0.25">
      <c r="A20" s="48" t="s">
        <v>142</v>
      </c>
    </row>
    <row r="21" spans="1:6" x14ac:dyDescent="0.25">
      <c r="A21" s="92" t="s">
        <v>141</v>
      </c>
      <c r="B21" s="92"/>
      <c r="C21" s="92"/>
      <c r="D21" s="92" t="s">
        <v>131</v>
      </c>
      <c r="E21" s="92"/>
      <c r="F21" s="92"/>
    </row>
    <row r="22" spans="1:6" x14ac:dyDescent="0.25">
      <c r="A22" s="41" t="s">
        <v>133</v>
      </c>
      <c r="B22" s="45"/>
      <c r="C22" s="61">
        <f>F12</f>
        <v>2105537.04</v>
      </c>
      <c r="D22" s="37" t="s">
        <v>133</v>
      </c>
      <c r="E22" s="52"/>
      <c r="F22" s="56">
        <f>F12</f>
        <v>2105537.04</v>
      </c>
    </row>
    <row r="23" spans="1:6" x14ac:dyDescent="0.25">
      <c r="A23" s="37" t="s">
        <v>104</v>
      </c>
      <c r="B23" s="52"/>
      <c r="C23" s="56">
        <f>F16</f>
        <v>10634.81</v>
      </c>
      <c r="D23" s="37" t="s">
        <v>104</v>
      </c>
      <c r="E23" s="52"/>
      <c r="F23" s="56">
        <f>F17</f>
        <v>133203.94</v>
      </c>
    </row>
    <row r="24" spans="1:6" x14ac:dyDescent="0.25">
      <c r="A24" s="37"/>
      <c r="B24" s="60" t="s">
        <v>144</v>
      </c>
      <c r="C24" s="58">
        <f>SUM(C22:C23)</f>
        <v>2116171.85</v>
      </c>
      <c r="D24" s="37"/>
      <c r="E24" s="60" t="s">
        <v>145</v>
      </c>
      <c r="F24" s="58">
        <f>SUM(F22:F23)</f>
        <v>2238740.98</v>
      </c>
    </row>
    <row r="26" spans="1:6" x14ac:dyDescent="0.25">
      <c r="B26" s="93" t="s">
        <v>143</v>
      </c>
      <c r="C26" s="93"/>
      <c r="D26" s="93"/>
      <c r="E26" s="58">
        <f>C24+F24</f>
        <v>4354912.83</v>
      </c>
    </row>
  </sheetData>
  <mergeCells count="3">
    <mergeCell ref="A21:C21"/>
    <mergeCell ref="D21:F21"/>
    <mergeCell ref="B26:D26"/>
  </mergeCells>
  <pageMargins left="0.51181102362204722" right="0.51181102362204722" top="1.1023622047244095" bottom="0.78740157480314965" header="0.31496062992125984" footer="0.31496062992125984"/>
  <pageSetup paperSize="9" scale="97" fitToHeight="0" orientation="portrait" r:id="rId1"/>
  <headerFooter>
    <oddHeader>&amp;C&amp;G</oddHeader>
    <oddFooter>&amp;L&amp;"-,Negrito"Documento elaborado em 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zoomScaleNormal="115" zoomScaleSheetLayoutView="100" workbookViewId="0">
      <selection activeCell="C12" sqref="C12:D14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4" t="s">
        <v>0</v>
      </c>
      <c r="B1" s="74"/>
      <c r="C1" s="74"/>
      <c r="D1" s="74"/>
    </row>
    <row r="2" spans="1:4" ht="15.75" x14ac:dyDescent="0.25">
      <c r="A2" s="26"/>
      <c r="B2" s="26"/>
      <c r="C2" s="26"/>
      <c r="D2" s="26"/>
    </row>
    <row r="3" spans="1:4" x14ac:dyDescent="0.2">
      <c r="A3" s="76" t="s">
        <v>88</v>
      </c>
      <c r="B3" s="76"/>
      <c r="C3" s="76"/>
      <c r="D3" s="76"/>
    </row>
    <row r="4" spans="1:4" x14ac:dyDescent="0.2">
      <c r="A4" s="2"/>
      <c r="B4" s="2"/>
      <c r="C4" s="2"/>
      <c r="D4" s="2"/>
    </row>
    <row r="5" spans="1:4" ht="38.25" x14ac:dyDescent="0.2">
      <c r="A5" s="77" t="s">
        <v>89</v>
      </c>
      <c r="B5" s="77"/>
      <c r="C5" s="32" t="s">
        <v>90</v>
      </c>
      <c r="D5" s="27" t="s">
        <v>91</v>
      </c>
    </row>
    <row r="6" spans="1:4" x14ac:dyDescent="0.2">
      <c r="A6" s="84" t="s">
        <v>148</v>
      </c>
      <c r="B6" s="84"/>
      <c r="C6" s="33" t="s">
        <v>100</v>
      </c>
      <c r="D6" s="33">
        <v>2</v>
      </c>
    </row>
    <row r="8" spans="1:4" x14ac:dyDescent="0.2">
      <c r="A8" s="76" t="s">
        <v>72</v>
      </c>
      <c r="B8" s="76"/>
      <c r="C8" s="76"/>
      <c r="D8" s="76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85" t="s">
        <v>148</v>
      </c>
      <c r="D10" s="86"/>
    </row>
    <row r="11" spans="1:4" x14ac:dyDescent="0.2">
      <c r="A11" s="5">
        <v>2</v>
      </c>
      <c r="B11" s="5" t="s">
        <v>92</v>
      </c>
      <c r="C11" s="85" t="s">
        <v>150</v>
      </c>
      <c r="D11" s="86"/>
    </row>
    <row r="12" spans="1:4" x14ac:dyDescent="0.2">
      <c r="A12" s="5">
        <v>3</v>
      </c>
      <c r="B12" s="5" t="s">
        <v>74</v>
      </c>
      <c r="C12" s="87"/>
      <c r="D12" s="88"/>
    </row>
    <row r="13" spans="1:4" x14ac:dyDescent="0.2">
      <c r="A13" s="5">
        <v>4</v>
      </c>
      <c r="B13" s="5" t="s">
        <v>75</v>
      </c>
      <c r="C13" s="85"/>
      <c r="D13" s="86"/>
    </row>
    <row r="14" spans="1:4" x14ac:dyDescent="0.2">
      <c r="A14" s="5">
        <v>5</v>
      </c>
      <c r="B14" s="5" t="s">
        <v>76</v>
      </c>
      <c r="C14" s="89"/>
      <c r="D14" s="86"/>
    </row>
    <row r="16" spans="1:4" x14ac:dyDescent="0.2">
      <c r="A16" s="76" t="s">
        <v>1</v>
      </c>
      <c r="B16" s="76"/>
      <c r="C16" s="76"/>
      <c r="D16" s="76"/>
    </row>
    <row r="18" spans="1:4" x14ac:dyDescent="0.2">
      <c r="A18" s="30">
        <v>1</v>
      </c>
      <c r="B18" s="70" t="s">
        <v>2</v>
      </c>
      <c r="C18" s="70"/>
      <c r="D18" s="30" t="s">
        <v>3</v>
      </c>
    </row>
    <row r="19" spans="1:4" x14ac:dyDescent="0.2">
      <c r="A19" s="32" t="s">
        <v>4</v>
      </c>
      <c r="B19" s="69" t="s">
        <v>5</v>
      </c>
      <c r="C19" s="69"/>
      <c r="D19" s="13">
        <v>1425</v>
      </c>
    </row>
    <row r="20" spans="1:4" x14ac:dyDescent="0.2">
      <c r="A20" s="32" t="s">
        <v>6</v>
      </c>
      <c r="B20" s="69" t="s">
        <v>7</v>
      </c>
      <c r="C20" s="69"/>
      <c r="D20" s="13"/>
    </row>
    <row r="21" spans="1:4" x14ac:dyDescent="0.2">
      <c r="A21" s="32" t="s">
        <v>8</v>
      </c>
      <c r="B21" s="69" t="s">
        <v>9</v>
      </c>
      <c r="C21" s="69"/>
      <c r="D21" s="13"/>
    </row>
    <row r="22" spans="1:4" x14ac:dyDescent="0.2">
      <c r="A22" s="32" t="s">
        <v>10</v>
      </c>
      <c r="B22" s="69" t="s">
        <v>11</v>
      </c>
      <c r="C22" s="69"/>
      <c r="D22" s="13"/>
    </row>
    <row r="23" spans="1:4" x14ac:dyDescent="0.2">
      <c r="A23" s="32" t="s">
        <v>12</v>
      </c>
      <c r="B23" s="69" t="s">
        <v>13</v>
      </c>
      <c r="C23" s="69"/>
      <c r="D23" s="13"/>
    </row>
    <row r="24" spans="1:4" x14ac:dyDescent="0.2">
      <c r="A24" s="32"/>
      <c r="B24" s="69"/>
      <c r="C24" s="69"/>
      <c r="D24" s="13"/>
    </row>
    <row r="25" spans="1:4" x14ac:dyDescent="0.2">
      <c r="A25" s="32" t="s">
        <v>14</v>
      </c>
      <c r="B25" s="69" t="s">
        <v>15</v>
      </c>
      <c r="C25" s="69"/>
      <c r="D25" s="13"/>
    </row>
    <row r="26" spans="1:4" x14ac:dyDescent="0.2">
      <c r="A26" s="70" t="s">
        <v>16</v>
      </c>
      <c r="B26" s="70"/>
      <c r="C26" s="70"/>
      <c r="D26" s="20">
        <f>SUM(D19:D25)</f>
        <v>1425</v>
      </c>
    </row>
    <row r="29" spans="1:4" x14ac:dyDescent="0.2">
      <c r="A29" s="73" t="s">
        <v>17</v>
      </c>
      <c r="B29" s="73"/>
      <c r="C29" s="73"/>
      <c r="D29" s="73"/>
    </row>
    <row r="30" spans="1:4" x14ac:dyDescent="0.2">
      <c r="A30" s="3"/>
    </row>
    <row r="31" spans="1:4" x14ac:dyDescent="0.2">
      <c r="A31" s="71" t="s">
        <v>18</v>
      </c>
      <c r="B31" s="71"/>
      <c r="C31" s="71"/>
      <c r="D31" s="71"/>
    </row>
    <row r="33" spans="1:4" x14ac:dyDescent="0.2">
      <c r="A33" s="30" t="s">
        <v>19</v>
      </c>
      <c r="B33" s="70" t="s">
        <v>20</v>
      </c>
      <c r="C33" s="70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118.7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158.31</v>
      </c>
    </row>
    <row r="36" spans="1:4" x14ac:dyDescent="0.2">
      <c r="A36" s="70" t="s">
        <v>16</v>
      </c>
      <c r="B36" s="70"/>
      <c r="C36" s="28">
        <f>SUM(C34:C35)</f>
        <v>0.19440000000000002</v>
      </c>
      <c r="D36" s="19">
        <f>SUM(D34:D35)</f>
        <v>277.01</v>
      </c>
    </row>
    <row r="39" spans="1:4" x14ac:dyDescent="0.2">
      <c r="A39" s="75" t="s">
        <v>23</v>
      </c>
      <c r="B39" s="75"/>
      <c r="C39" s="75"/>
      <c r="D39" s="75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340.4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42.55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51.06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25.53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17.02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10.210000000000001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3.4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136.16</v>
      </c>
    </row>
    <row r="50" spans="1:4" x14ac:dyDescent="0.2">
      <c r="A50" s="70" t="s">
        <v>37</v>
      </c>
      <c r="B50" s="70"/>
      <c r="C50" s="15">
        <f>SUM(C42:C49)</f>
        <v>0.36800000000000005</v>
      </c>
      <c r="D50" s="19">
        <f>SUM(D42:D49)</f>
        <v>626.32999999999993</v>
      </c>
    </row>
    <row r="53" spans="1:4" x14ac:dyDescent="0.2">
      <c r="A53" s="71" t="s">
        <v>38</v>
      </c>
      <c r="B53" s="71"/>
      <c r="C53" s="71"/>
      <c r="D53" s="71"/>
    </row>
    <row r="55" spans="1:4" x14ac:dyDescent="0.2">
      <c r="A55" s="30" t="s">
        <v>39</v>
      </c>
      <c r="B55" s="72" t="s">
        <v>40</v>
      </c>
      <c r="C55" s="72"/>
      <c r="D55" s="30" t="s">
        <v>3</v>
      </c>
    </row>
    <row r="56" spans="1:4" x14ac:dyDescent="0.2">
      <c r="A56" s="32" t="s">
        <v>4</v>
      </c>
      <c r="B56" s="69" t="s">
        <v>41</v>
      </c>
      <c r="C56" s="69"/>
      <c r="D56" s="13">
        <f>IF((22*2*5.2)-(D19*0.06)&gt;0,(22*2*5.2)-(D19*0.06),0)</f>
        <v>143.30000000000001</v>
      </c>
    </row>
    <row r="57" spans="1:4" x14ac:dyDescent="0.2">
      <c r="A57" s="32" t="s">
        <v>6</v>
      </c>
      <c r="B57" s="69" t="s">
        <v>42</v>
      </c>
      <c r="C57" s="69"/>
      <c r="D57" s="13">
        <f>17*0.8*22</f>
        <v>299.20000000000005</v>
      </c>
    </row>
    <row r="58" spans="1:4" x14ac:dyDescent="0.2">
      <c r="A58" s="32" t="s">
        <v>8</v>
      </c>
      <c r="B58" s="69" t="s">
        <v>101</v>
      </c>
      <c r="C58" s="69"/>
      <c r="D58" s="13">
        <v>170</v>
      </c>
    </row>
    <row r="59" spans="1:4" x14ac:dyDescent="0.2">
      <c r="A59" s="32" t="s">
        <v>10</v>
      </c>
      <c r="B59" s="69" t="s">
        <v>102</v>
      </c>
      <c r="C59" s="69"/>
      <c r="D59" s="13">
        <v>14</v>
      </c>
    </row>
    <row r="60" spans="1:4" x14ac:dyDescent="0.2">
      <c r="A60" s="32" t="s">
        <v>10</v>
      </c>
      <c r="B60" s="69" t="s">
        <v>103</v>
      </c>
      <c r="C60" s="69"/>
      <c r="D60" s="13">
        <v>4.4800000000000004</v>
      </c>
    </row>
    <row r="61" spans="1:4" x14ac:dyDescent="0.2">
      <c r="A61" s="70" t="s">
        <v>16</v>
      </c>
      <c r="B61" s="70"/>
      <c r="C61" s="70"/>
      <c r="D61" s="19">
        <f>SUM(D56:D60)</f>
        <v>630.98</v>
      </c>
    </row>
    <row r="64" spans="1:4" x14ac:dyDescent="0.2">
      <c r="A64" s="71" t="s">
        <v>43</v>
      </c>
      <c r="B64" s="71"/>
      <c r="C64" s="71"/>
      <c r="D64" s="71"/>
    </row>
    <row r="66" spans="1:5" x14ac:dyDescent="0.2">
      <c r="A66" s="30">
        <v>2</v>
      </c>
      <c r="B66" s="72" t="s">
        <v>44</v>
      </c>
      <c r="C66" s="72"/>
      <c r="D66" s="30" t="s">
        <v>3</v>
      </c>
    </row>
    <row r="67" spans="1:5" x14ac:dyDescent="0.2">
      <c r="A67" s="32" t="s">
        <v>19</v>
      </c>
      <c r="B67" s="69" t="s">
        <v>20</v>
      </c>
      <c r="C67" s="69"/>
      <c r="D67" s="14">
        <f>D36</f>
        <v>277.01</v>
      </c>
    </row>
    <row r="68" spans="1:5" x14ac:dyDescent="0.2">
      <c r="A68" s="32" t="s">
        <v>24</v>
      </c>
      <c r="B68" s="69" t="s">
        <v>25</v>
      </c>
      <c r="C68" s="69"/>
      <c r="D68" s="14">
        <f>D50</f>
        <v>626.32999999999993</v>
      </c>
    </row>
    <row r="69" spans="1:5" x14ac:dyDescent="0.2">
      <c r="A69" s="32" t="s">
        <v>39</v>
      </c>
      <c r="B69" s="69" t="s">
        <v>40</v>
      </c>
      <c r="C69" s="69"/>
      <c r="D69" s="14">
        <f>D61</f>
        <v>630.98</v>
      </c>
    </row>
    <row r="70" spans="1:5" x14ac:dyDescent="0.2">
      <c r="A70" s="70" t="s">
        <v>16</v>
      </c>
      <c r="B70" s="70"/>
      <c r="C70" s="70"/>
      <c r="D70" s="19">
        <f>SUM(D67:D69)</f>
        <v>1534.32</v>
      </c>
    </row>
    <row r="71" spans="1:5" x14ac:dyDescent="0.2">
      <c r="A71" s="4"/>
      <c r="E71" s="18"/>
    </row>
    <row r="73" spans="1:5" x14ac:dyDescent="0.2">
      <c r="A73" s="73" t="s">
        <v>45</v>
      </c>
      <c r="B73" s="73"/>
      <c r="C73" s="73"/>
      <c r="D73" s="73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2" t="s">
        <v>46</v>
      </c>
      <c r="C75" s="72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TRUNC(((1/12)*5%),4)</f>
        <v>4.1000000000000003E-3</v>
      </c>
      <c r="D76" s="13">
        <f>TRUNC($D$26*C76,2)</f>
        <v>5.84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0.46</v>
      </c>
    </row>
    <row r="78" spans="1:5" x14ac:dyDescent="0.2">
      <c r="A78" s="32" t="s">
        <v>8</v>
      </c>
      <c r="B78" s="10" t="s">
        <v>98</v>
      </c>
      <c r="C78" s="9">
        <f>TRUNC(8%*5%*40%,4)</f>
        <v>1.6000000000000001E-3</v>
      </c>
      <c r="D78" s="13">
        <f>TRUNC($D$26*C78,2)</f>
        <v>2.2799999999999998</v>
      </c>
    </row>
    <row r="79" spans="1:5" x14ac:dyDescent="0.2">
      <c r="A79" s="32" t="s">
        <v>10</v>
      </c>
      <c r="B79" s="10" t="s">
        <v>49</v>
      </c>
      <c r="C79" s="9">
        <f>TRUNC(((7/30)/12)*95%,4)</f>
        <v>1.84E-2</v>
      </c>
      <c r="D79" s="13">
        <f>TRUNC($D$26*C79,2)</f>
        <v>26.22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9.64</v>
      </c>
    </row>
    <row r="81" spans="1:4" x14ac:dyDescent="0.2">
      <c r="A81" s="32" t="s">
        <v>32</v>
      </c>
      <c r="B81" s="10" t="s">
        <v>99</v>
      </c>
      <c r="C81" s="9">
        <f>TRUNC(8%*95%*40%,4)</f>
        <v>3.04E-2</v>
      </c>
      <c r="D81" s="13">
        <f t="shared" ref="D81" si="1">TRUNC($D$26*C81,2)</f>
        <v>43.32</v>
      </c>
    </row>
    <row r="82" spans="1:4" x14ac:dyDescent="0.2">
      <c r="A82" s="78" t="s">
        <v>16</v>
      </c>
      <c r="B82" s="79"/>
      <c r="C82" s="80"/>
      <c r="D82" s="19">
        <f>SUM(D76:D81)</f>
        <v>87.759999999999991</v>
      </c>
    </row>
    <row r="85" spans="1:4" x14ac:dyDescent="0.2">
      <c r="A85" s="73" t="s">
        <v>50</v>
      </c>
      <c r="B85" s="73"/>
      <c r="C85" s="73"/>
      <c r="D85" s="73"/>
    </row>
    <row r="88" spans="1:4" x14ac:dyDescent="0.2">
      <c r="A88" s="71" t="s">
        <v>77</v>
      </c>
      <c r="B88" s="71"/>
      <c r="C88" s="71"/>
      <c r="D88" s="71"/>
    </row>
    <row r="89" spans="1:4" x14ac:dyDescent="0.2">
      <c r="A89" s="3"/>
    </row>
    <row r="90" spans="1:4" x14ac:dyDescent="0.2">
      <c r="A90" s="30" t="s">
        <v>51</v>
      </c>
      <c r="B90" s="72" t="s">
        <v>78</v>
      </c>
      <c r="C90" s="72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</f>
        <v>9.1999999999999998E-3</v>
      </c>
      <c r="D91" s="13">
        <f>TRUNC(($D$26+$D$70+$D$82)*C91,2)</f>
        <v>28.03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16.75</v>
      </c>
    </row>
    <row r="93" spans="1:4" x14ac:dyDescent="0.2">
      <c r="A93" s="32" t="s">
        <v>8</v>
      </c>
      <c r="B93" s="29" t="s">
        <v>81</v>
      </c>
      <c r="C93" s="9">
        <f>TRUNC(((5/30)/12)*2%,4)</f>
        <v>2.0000000000000001E-4</v>
      </c>
      <c r="D93" s="13">
        <f t="shared" si="2"/>
        <v>0.6</v>
      </c>
    </row>
    <row r="94" spans="1:4" x14ac:dyDescent="0.2">
      <c r="A94" s="32" t="s">
        <v>10</v>
      </c>
      <c r="B94" s="29" t="s">
        <v>82</v>
      </c>
      <c r="C94" s="9">
        <f>TRUNC(((15/30)/12)*8%,4)</f>
        <v>3.3E-3</v>
      </c>
      <c r="D94" s="13">
        <f t="shared" si="2"/>
        <v>10.050000000000001</v>
      </c>
    </row>
    <row r="95" spans="1:4" x14ac:dyDescent="0.2">
      <c r="A95" s="32" t="s">
        <v>12</v>
      </c>
      <c r="B95" s="29" t="s">
        <v>83</v>
      </c>
      <c r="C95" s="9">
        <f>((1+1/3)/12)*3%*(4/12)</f>
        <v>1.1111111111111109E-3</v>
      </c>
      <c r="D95" s="13">
        <f t="shared" si="2"/>
        <v>3.38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70" t="s">
        <v>37</v>
      </c>
      <c r="B97" s="70"/>
      <c r="C97" s="70"/>
      <c r="D97" s="19">
        <f>SUM(D91:D96)</f>
        <v>58.810000000000009</v>
      </c>
      <c r="E97" s="17"/>
      <c r="F97" s="17"/>
    </row>
    <row r="100" spans="1:6" x14ac:dyDescent="0.2">
      <c r="A100" s="71" t="s">
        <v>85</v>
      </c>
      <c r="B100" s="71"/>
      <c r="C100" s="71"/>
      <c r="D100" s="71"/>
    </row>
    <row r="101" spans="1:6" x14ac:dyDescent="0.2">
      <c r="A101" s="3"/>
    </row>
    <row r="102" spans="1:6" x14ac:dyDescent="0.2">
      <c r="A102" s="30" t="s">
        <v>52</v>
      </c>
      <c r="B102" s="72" t="s">
        <v>86</v>
      </c>
      <c r="C102" s="72"/>
      <c r="D102" s="30" t="s">
        <v>3</v>
      </c>
    </row>
    <row r="103" spans="1:6" x14ac:dyDescent="0.2">
      <c r="A103" s="32" t="s">
        <v>4</v>
      </c>
      <c r="B103" s="81" t="s">
        <v>87</v>
      </c>
      <c r="C103" s="82"/>
      <c r="D103" s="13">
        <f>((D26+D70+D82)/220)*22*0</f>
        <v>0</v>
      </c>
    </row>
    <row r="104" spans="1:6" x14ac:dyDescent="0.2">
      <c r="A104" s="70" t="s">
        <v>16</v>
      </c>
      <c r="B104" s="70"/>
      <c r="C104" s="70"/>
      <c r="D104" s="19">
        <f>SUM(D103)</f>
        <v>0</v>
      </c>
    </row>
    <row r="107" spans="1:6" x14ac:dyDescent="0.2">
      <c r="A107" s="71" t="s">
        <v>53</v>
      </c>
      <c r="B107" s="71"/>
      <c r="C107" s="71"/>
      <c r="D107" s="71"/>
    </row>
    <row r="108" spans="1:6" x14ac:dyDescent="0.2">
      <c r="A108" s="3"/>
    </row>
    <row r="109" spans="1:6" x14ac:dyDescent="0.2">
      <c r="A109" s="30">
        <v>4</v>
      </c>
      <c r="B109" s="70" t="s">
        <v>54</v>
      </c>
      <c r="C109" s="70"/>
      <c r="D109" s="30" t="s">
        <v>3</v>
      </c>
    </row>
    <row r="110" spans="1:6" x14ac:dyDescent="0.2">
      <c r="A110" s="32" t="s">
        <v>51</v>
      </c>
      <c r="B110" s="69" t="s">
        <v>78</v>
      </c>
      <c r="C110" s="69"/>
      <c r="D110" s="14">
        <f>D97</f>
        <v>58.810000000000009</v>
      </c>
    </row>
    <row r="111" spans="1:6" x14ac:dyDescent="0.2">
      <c r="A111" s="32" t="s">
        <v>52</v>
      </c>
      <c r="B111" s="69" t="s">
        <v>86</v>
      </c>
      <c r="C111" s="69"/>
      <c r="D111" s="14">
        <f>D104</f>
        <v>0</v>
      </c>
    </row>
    <row r="112" spans="1:6" x14ac:dyDescent="0.2">
      <c r="A112" s="70" t="s">
        <v>16</v>
      </c>
      <c r="B112" s="70"/>
      <c r="C112" s="70"/>
      <c r="D112" s="19">
        <f>SUM(D110:D111)</f>
        <v>58.810000000000009</v>
      </c>
    </row>
    <row r="115" spans="1:4" x14ac:dyDescent="0.2">
      <c r="A115" s="73" t="s">
        <v>55</v>
      </c>
      <c r="B115" s="73"/>
      <c r="C115" s="73"/>
      <c r="D115" s="73"/>
    </row>
    <row r="117" spans="1:4" x14ac:dyDescent="0.2">
      <c r="A117" s="30">
        <v>5</v>
      </c>
      <c r="B117" s="83" t="s">
        <v>56</v>
      </c>
      <c r="C117" s="83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v>9.24</v>
      </c>
    </row>
    <row r="119" spans="1:4" x14ac:dyDescent="0.2">
      <c r="A119" s="32" t="s">
        <v>6</v>
      </c>
      <c r="B119" s="29" t="s">
        <v>58</v>
      </c>
      <c r="C119" s="29"/>
      <c r="D119" s="13">
        <v>4.93</v>
      </c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70" t="s">
        <v>37</v>
      </c>
      <c r="B122" s="70"/>
      <c r="C122" s="70"/>
      <c r="D122" s="20">
        <f>SUM(D118:D121)</f>
        <v>14.17</v>
      </c>
    </row>
    <row r="125" spans="1:4" x14ac:dyDescent="0.2">
      <c r="A125" s="73" t="s">
        <v>60</v>
      </c>
      <c r="B125" s="73"/>
      <c r="C125" s="73"/>
      <c r="D125" s="73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0.02</v>
      </c>
      <c r="D128" s="14">
        <f>D148*C128</f>
        <v>62.401200000000003</v>
      </c>
    </row>
    <row r="129" spans="1:4" x14ac:dyDescent="0.2">
      <c r="A129" s="32" t="s">
        <v>6</v>
      </c>
      <c r="B129" s="29" t="s">
        <v>63</v>
      </c>
      <c r="C129" s="9">
        <v>0.03</v>
      </c>
      <c r="D129" s="13">
        <f>(D148+D128)*C129</f>
        <v>95.473835999999991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310.39012656157632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23.324144999999998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107.64989999999999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179.41650000000001</v>
      </c>
    </row>
    <row r="137" spans="1:4" ht="13.5" x14ac:dyDescent="0.2">
      <c r="A137" s="78" t="s">
        <v>37</v>
      </c>
      <c r="B137" s="79"/>
      <c r="C137" s="21">
        <f>(1+C129)*(1+C128)/(1-C130)-1</f>
        <v>0.15008210180623971</v>
      </c>
      <c r="D137" s="19">
        <f>SUM(D128:D130)</f>
        <v>468.26516256157629</v>
      </c>
    </row>
    <row r="140" spans="1:4" x14ac:dyDescent="0.2">
      <c r="A140" s="73" t="s">
        <v>68</v>
      </c>
      <c r="B140" s="73"/>
      <c r="C140" s="73"/>
      <c r="D140" s="73"/>
    </row>
    <row r="142" spans="1:4" x14ac:dyDescent="0.2">
      <c r="A142" s="30"/>
      <c r="B142" s="70" t="s">
        <v>69</v>
      </c>
      <c r="C142" s="70"/>
      <c r="D142" s="30" t="s">
        <v>3</v>
      </c>
    </row>
    <row r="143" spans="1:4" x14ac:dyDescent="0.2">
      <c r="A143" s="30" t="s">
        <v>4</v>
      </c>
      <c r="B143" s="69" t="s">
        <v>1</v>
      </c>
      <c r="C143" s="69"/>
      <c r="D143" s="22">
        <f>D26</f>
        <v>1425</v>
      </c>
    </row>
    <row r="144" spans="1:4" x14ac:dyDescent="0.2">
      <c r="A144" s="30" t="s">
        <v>6</v>
      </c>
      <c r="B144" s="69" t="s">
        <v>17</v>
      </c>
      <c r="C144" s="69"/>
      <c r="D144" s="22">
        <f>D70</f>
        <v>1534.32</v>
      </c>
    </row>
    <row r="145" spans="1:4" x14ac:dyDescent="0.2">
      <c r="A145" s="30" t="s">
        <v>8</v>
      </c>
      <c r="B145" s="69" t="s">
        <v>45</v>
      </c>
      <c r="C145" s="69"/>
      <c r="D145" s="22">
        <f>D82</f>
        <v>87.759999999999991</v>
      </c>
    </row>
    <row r="146" spans="1:4" x14ac:dyDescent="0.2">
      <c r="A146" s="30" t="s">
        <v>10</v>
      </c>
      <c r="B146" s="69" t="s">
        <v>50</v>
      </c>
      <c r="C146" s="69"/>
      <c r="D146" s="22">
        <f>D112</f>
        <v>58.810000000000009</v>
      </c>
    </row>
    <row r="147" spans="1:4" x14ac:dyDescent="0.2">
      <c r="A147" s="30" t="s">
        <v>12</v>
      </c>
      <c r="B147" s="69" t="s">
        <v>55</v>
      </c>
      <c r="C147" s="69"/>
      <c r="D147" s="22">
        <f>D122</f>
        <v>14.17</v>
      </c>
    </row>
    <row r="148" spans="1:4" x14ac:dyDescent="0.2">
      <c r="A148" s="70" t="s">
        <v>94</v>
      </c>
      <c r="B148" s="70"/>
      <c r="C148" s="70"/>
      <c r="D148" s="23">
        <f>SUM(D143:D147)</f>
        <v>3120.06</v>
      </c>
    </row>
    <row r="149" spans="1:4" x14ac:dyDescent="0.2">
      <c r="A149" s="30" t="s">
        <v>32</v>
      </c>
      <c r="B149" s="69" t="s">
        <v>70</v>
      </c>
      <c r="C149" s="69"/>
      <c r="D149" s="24">
        <f>D137</f>
        <v>468.26516256157629</v>
      </c>
    </row>
    <row r="150" spans="1:4" x14ac:dyDescent="0.2">
      <c r="A150" s="70" t="s">
        <v>71</v>
      </c>
      <c r="B150" s="70"/>
      <c r="C150" s="70"/>
      <c r="D150" s="23">
        <f>ROUND(SUM(D148:D149),2)</f>
        <v>3588.33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46:C146"/>
    <mergeCell ref="B147:C147"/>
    <mergeCell ref="A148:C148"/>
    <mergeCell ref="B149:C149"/>
    <mergeCell ref="A150:C150"/>
  </mergeCells>
  <pageMargins left="0.51181102362204722" right="0.51181102362204722" top="1.102362204724409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zoomScaleNormal="115" zoomScaleSheetLayoutView="100" workbookViewId="0">
      <selection activeCell="C12" sqref="C12:D14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4" t="s">
        <v>0</v>
      </c>
      <c r="B1" s="74"/>
      <c r="C1" s="74"/>
      <c r="D1" s="74"/>
    </row>
    <row r="2" spans="1:4" ht="15.75" x14ac:dyDescent="0.25">
      <c r="A2" s="26"/>
      <c r="B2" s="26"/>
      <c r="C2" s="26"/>
      <c r="D2" s="26"/>
    </row>
    <row r="3" spans="1:4" x14ac:dyDescent="0.2">
      <c r="A3" s="76" t="s">
        <v>88</v>
      </c>
      <c r="B3" s="76"/>
      <c r="C3" s="76"/>
      <c r="D3" s="76"/>
    </row>
    <row r="4" spans="1:4" x14ac:dyDescent="0.2">
      <c r="A4" s="2"/>
      <c r="B4" s="2"/>
      <c r="C4" s="2"/>
      <c r="D4" s="2"/>
    </row>
    <row r="5" spans="1:4" ht="38.25" x14ac:dyDescent="0.2">
      <c r="A5" s="77" t="s">
        <v>89</v>
      </c>
      <c r="B5" s="77"/>
      <c r="C5" s="32" t="s">
        <v>90</v>
      </c>
      <c r="D5" s="27" t="s">
        <v>91</v>
      </c>
    </row>
    <row r="6" spans="1:4" x14ac:dyDescent="0.2">
      <c r="A6" s="84" t="s">
        <v>149</v>
      </c>
      <c r="B6" s="84"/>
      <c r="C6" s="33" t="s">
        <v>100</v>
      </c>
      <c r="D6" s="33">
        <v>11</v>
      </c>
    </row>
    <row r="8" spans="1:4" x14ac:dyDescent="0.2">
      <c r="A8" s="76" t="s">
        <v>72</v>
      </c>
      <c r="B8" s="76"/>
      <c r="C8" s="76"/>
      <c r="D8" s="76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85" t="s">
        <v>149</v>
      </c>
      <c r="D10" s="86"/>
    </row>
    <row r="11" spans="1:4" x14ac:dyDescent="0.2">
      <c r="A11" s="5">
        <v>2</v>
      </c>
      <c r="B11" s="5" t="s">
        <v>92</v>
      </c>
      <c r="C11" s="85" t="s">
        <v>150</v>
      </c>
      <c r="D11" s="86"/>
    </row>
    <row r="12" spans="1:4" x14ac:dyDescent="0.2">
      <c r="A12" s="5">
        <v>3</v>
      </c>
      <c r="B12" s="5" t="s">
        <v>74</v>
      </c>
      <c r="C12" s="87"/>
      <c r="D12" s="88"/>
    </row>
    <row r="13" spans="1:4" x14ac:dyDescent="0.2">
      <c r="A13" s="5">
        <v>4</v>
      </c>
      <c r="B13" s="5" t="s">
        <v>75</v>
      </c>
      <c r="C13" s="85"/>
      <c r="D13" s="86"/>
    </row>
    <row r="14" spans="1:4" x14ac:dyDescent="0.2">
      <c r="A14" s="5">
        <v>5</v>
      </c>
      <c r="B14" s="5" t="s">
        <v>76</v>
      </c>
      <c r="C14" s="89"/>
      <c r="D14" s="86"/>
    </row>
    <row r="16" spans="1:4" x14ac:dyDescent="0.2">
      <c r="A16" s="76" t="s">
        <v>1</v>
      </c>
      <c r="B16" s="76"/>
      <c r="C16" s="76"/>
      <c r="D16" s="76"/>
    </row>
    <row r="18" spans="1:4" x14ac:dyDescent="0.2">
      <c r="A18" s="30">
        <v>1</v>
      </c>
      <c r="B18" s="70" t="s">
        <v>2</v>
      </c>
      <c r="C18" s="70"/>
      <c r="D18" s="30" t="s">
        <v>3</v>
      </c>
    </row>
    <row r="19" spans="1:4" x14ac:dyDescent="0.2">
      <c r="A19" s="32" t="s">
        <v>4</v>
      </c>
      <c r="B19" s="69" t="s">
        <v>5</v>
      </c>
      <c r="C19" s="69"/>
      <c r="D19" s="13">
        <v>1566.29</v>
      </c>
    </row>
    <row r="20" spans="1:4" x14ac:dyDescent="0.2">
      <c r="A20" s="32" t="s">
        <v>6</v>
      </c>
      <c r="B20" s="69" t="s">
        <v>7</v>
      </c>
      <c r="C20" s="69"/>
      <c r="D20" s="13"/>
    </row>
    <row r="21" spans="1:4" x14ac:dyDescent="0.2">
      <c r="A21" s="32" t="s">
        <v>8</v>
      </c>
      <c r="B21" s="69" t="s">
        <v>9</v>
      </c>
      <c r="C21" s="69"/>
      <c r="D21" s="13"/>
    </row>
    <row r="22" spans="1:4" x14ac:dyDescent="0.2">
      <c r="A22" s="32" t="s">
        <v>10</v>
      </c>
      <c r="B22" s="69" t="s">
        <v>11</v>
      </c>
      <c r="C22" s="69"/>
      <c r="D22" s="13"/>
    </row>
    <row r="23" spans="1:4" x14ac:dyDescent="0.2">
      <c r="A23" s="32" t="s">
        <v>12</v>
      </c>
      <c r="B23" s="69" t="s">
        <v>13</v>
      </c>
      <c r="C23" s="69"/>
      <c r="D23" s="13"/>
    </row>
    <row r="24" spans="1:4" x14ac:dyDescent="0.2">
      <c r="A24" s="32"/>
      <c r="B24" s="69"/>
      <c r="C24" s="69"/>
      <c r="D24" s="13"/>
    </row>
    <row r="25" spans="1:4" x14ac:dyDescent="0.2">
      <c r="A25" s="32" t="s">
        <v>14</v>
      </c>
      <c r="B25" s="69" t="s">
        <v>15</v>
      </c>
      <c r="C25" s="69"/>
      <c r="D25" s="13"/>
    </row>
    <row r="26" spans="1:4" x14ac:dyDescent="0.2">
      <c r="A26" s="70" t="s">
        <v>16</v>
      </c>
      <c r="B26" s="70"/>
      <c r="C26" s="70"/>
      <c r="D26" s="20">
        <f>SUM(D19:D25)</f>
        <v>1566.29</v>
      </c>
    </row>
    <row r="29" spans="1:4" x14ac:dyDescent="0.2">
      <c r="A29" s="73" t="s">
        <v>17</v>
      </c>
      <c r="B29" s="73"/>
      <c r="C29" s="73"/>
      <c r="D29" s="73"/>
    </row>
    <row r="30" spans="1:4" x14ac:dyDescent="0.2">
      <c r="A30" s="3"/>
    </row>
    <row r="31" spans="1:4" x14ac:dyDescent="0.2">
      <c r="A31" s="71" t="s">
        <v>18</v>
      </c>
      <c r="B31" s="71"/>
      <c r="C31" s="71"/>
      <c r="D31" s="71"/>
    </row>
    <row r="33" spans="1:4" x14ac:dyDescent="0.2">
      <c r="A33" s="30" t="s">
        <v>19</v>
      </c>
      <c r="B33" s="70" t="s">
        <v>20</v>
      </c>
      <c r="C33" s="70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130.47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174.01</v>
      </c>
    </row>
    <row r="36" spans="1:4" x14ac:dyDescent="0.2">
      <c r="A36" s="70" t="s">
        <v>16</v>
      </c>
      <c r="B36" s="70"/>
      <c r="C36" s="28">
        <f>SUM(C34:C35)</f>
        <v>0.19440000000000002</v>
      </c>
      <c r="D36" s="19">
        <f>SUM(D34:D35)</f>
        <v>304.48</v>
      </c>
    </row>
    <row r="39" spans="1:4" x14ac:dyDescent="0.2">
      <c r="A39" s="75" t="s">
        <v>23</v>
      </c>
      <c r="B39" s="75"/>
      <c r="C39" s="75"/>
      <c r="D39" s="75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374.15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46.76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56.12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28.06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18.7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11.22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3.74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149.66</v>
      </c>
    </row>
    <row r="50" spans="1:4" x14ac:dyDescent="0.2">
      <c r="A50" s="70" t="s">
        <v>37</v>
      </c>
      <c r="B50" s="70"/>
      <c r="C50" s="15">
        <f>SUM(C42:C49)</f>
        <v>0.36800000000000005</v>
      </c>
      <c r="D50" s="19">
        <f>SUM(D42:D49)</f>
        <v>688.41</v>
      </c>
    </row>
    <row r="53" spans="1:4" x14ac:dyDescent="0.2">
      <c r="A53" s="71" t="s">
        <v>38</v>
      </c>
      <c r="B53" s="71"/>
      <c r="C53" s="71"/>
      <c r="D53" s="71"/>
    </row>
    <row r="55" spans="1:4" x14ac:dyDescent="0.2">
      <c r="A55" s="30" t="s">
        <v>39</v>
      </c>
      <c r="B55" s="72" t="s">
        <v>40</v>
      </c>
      <c r="C55" s="72"/>
      <c r="D55" s="30" t="s">
        <v>3</v>
      </c>
    </row>
    <row r="56" spans="1:4" x14ac:dyDescent="0.2">
      <c r="A56" s="32" t="s">
        <v>4</v>
      </c>
      <c r="B56" s="69" t="s">
        <v>41</v>
      </c>
      <c r="C56" s="69"/>
      <c r="D56" s="13">
        <f>IF((22*2*5.2)-(D19*0.06)&gt;0,(22*2*5.2)-(D19*0.06),0)</f>
        <v>134.82260000000002</v>
      </c>
    </row>
    <row r="57" spans="1:4" x14ac:dyDescent="0.2">
      <c r="A57" s="32" t="s">
        <v>6</v>
      </c>
      <c r="B57" s="69" t="s">
        <v>42</v>
      </c>
      <c r="C57" s="69"/>
      <c r="D57" s="13">
        <f>17*0.8*22</f>
        <v>299.20000000000005</v>
      </c>
    </row>
    <row r="58" spans="1:4" x14ac:dyDescent="0.2">
      <c r="A58" s="32" t="s">
        <v>8</v>
      </c>
      <c r="B58" s="69" t="s">
        <v>101</v>
      </c>
      <c r="C58" s="69"/>
      <c r="D58" s="13">
        <v>170</v>
      </c>
    </row>
    <row r="59" spans="1:4" x14ac:dyDescent="0.2">
      <c r="A59" s="32" t="s">
        <v>10</v>
      </c>
      <c r="B59" s="69" t="s">
        <v>102</v>
      </c>
      <c r="C59" s="69"/>
      <c r="D59" s="13">
        <v>14</v>
      </c>
    </row>
    <row r="60" spans="1:4" x14ac:dyDescent="0.2">
      <c r="A60" s="32" t="s">
        <v>10</v>
      </c>
      <c r="B60" s="69" t="s">
        <v>103</v>
      </c>
      <c r="C60" s="69"/>
      <c r="D60" s="13">
        <v>4.4800000000000004</v>
      </c>
    </row>
    <row r="61" spans="1:4" x14ac:dyDescent="0.2">
      <c r="A61" s="70" t="s">
        <v>16</v>
      </c>
      <c r="B61" s="70"/>
      <c r="C61" s="70"/>
      <c r="D61" s="19">
        <f>SUM(D56:D60)</f>
        <v>622.50260000000003</v>
      </c>
    </row>
    <row r="64" spans="1:4" x14ac:dyDescent="0.2">
      <c r="A64" s="71" t="s">
        <v>43</v>
      </c>
      <c r="B64" s="71"/>
      <c r="C64" s="71"/>
      <c r="D64" s="71"/>
    </row>
    <row r="66" spans="1:5" x14ac:dyDescent="0.2">
      <c r="A66" s="30">
        <v>2</v>
      </c>
      <c r="B66" s="72" t="s">
        <v>44</v>
      </c>
      <c r="C66" s="72"/>
      <c r="D66" s="30" t="s">
        <v>3</v>
      </c>
    </row>
    <row r="67" spans="1:5" x14ac:dyDescent="0.2">
      <c r="A67" s="32" t="s">
        <v>19</v>
      </c>
      <c r="B67" s="69" t="s">
        <v>20</v>
      </c>
      <c r="C67" s="69"/>
      <c r="D67" s="14">
        <f>D36</f>
        <v>304.48</v>
      </c>
    </row>
    <row r="68" spans="1:5" x14ac:dyDescent="0.2">
      <c r="A68" s="32" t="s">
        <v>24</v>
      </c>
      <c r="B68" s="69" t="s">
        <v>25</v>
      </c>
      <c r="C68" s="69"/>
      <c r="D68" s="14">
        <f>D50</f>
        <v>688.41</v>
      </c>
    </row>
    <row r="69" spans="1:5" x14ac:dyDescent="0.2">
      <c r="A69" s="32" t="s">
        <v>39</v>
      </c>
      <c r="B69" s="69" t="s">
        <v>40</v>
      </c>
      <c r="C69" s="69"/>
      <c r="D69" s="14">
        <f>D61</f>
        <v>622.50260000000003</v>
      </c>
    </row>
    <row r="70" spans="1:5" x14ac:dyDescent="0.2">
      <c r="A70" s="70" t="s">
        <v>16</v>
      </c>
      <c r="B70" s="70"/>
      <c r="C70" s="70"/>
      <c r="D70" s="19">
        <f>SUM(D67:D69)</f>
        <v>1615.3926000000001</v>
      </c>
    </row>
    <row r="71" spans="1:5" x14ac:dyDescent="0.2">
      <c r="A71" s="4"/>
      <c r="E71" s="18"/>
    </row>
    <row r="73" spans="1:5" x14ac:dyDescent="0.2">
      <c r="A73" s="73" t="s">
        <v>45</v>
      </c>
      <c r="B73" s="73"/>
      <c r="C73" s="73"/>
      <c r="D73" s="73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2" t="s">
        <v>46</v>
      </c>
      <c r="C75" s="72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TRUNC(((1/12)*5%),4)</f>
        <v>4.1000000000000003E-3</v>
      </c>
      <c r="D76" s="13">
        <f>TRUNC($D$26*C76,2)</f>
        <v>6.42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0.51</v>
      </c>
    </row>
    <row r="78" spans="1:5" x14ac:dyDescent="0.2">
      <c r="A78" s="32" t="s">
        <v>8</v>
      </c>
      <c r="B78" s="10" t="s">
        <v>98</v>
      </c>
      <c r="C78" s="9">
        <f>TRUNC(8%*5%*40%,4)</f>
        <v>1.6000000000000001E-3</v>
      </c>
      <c r="D78" s="13">
        <f>TRUNC($D$26*C78,2)</f>
        <v>2.5</v>
      </c>
    </row>
    <row r="79" spans="1:5" x14ac:dyDescent="0.2">
      <c r="A79" s="32" t="s">
        <v>10</v>
      </c>
      <c r="B79" s="10" t="s">
        <v>49</v>
      </c>
      <c r="C79" s="9">
        <f>TRUNC(((7/30)/12)*95%,4)</f>
        <v>1.84E-2</v>
      </c>
      <c r="D79" s="13">
        <f>TRUNC($D$26*C79,2)</f>
        <v>28.81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10.6</v>
      </c>
    </row>
    <row r="81" spans="1:4" x14ac:dyDescent="0.2">
      <c r="A81" s="32" t="s">
        <v>32</v>
      </c>
      <c r="B81" s="10" t="s">
        <v>99</v>
      </c>
      <c r="C81" s="9">
        <f>TRUNC(8%*95%*40%,4)</f>
        <v>3.04E-2</v>
      </c>
      <c r="D81" s="13">
        <f t="shared" ref="D81" si="1">TRUNC($D$26*C81,2)</f>
        <v>47.61</v>
      </c>
    </row>
    <row r="82" spans="1:4" x14ac:dyDescent="0.2">
      <c r="A82" s="78" t="s">
        <v>16</v>
      </c>
      <c r="B82" s="79"/>
      <c r="C82" s="80"/>
      <c r="D82" s="19">
        <f>SUM(D76:D81)</f>
        <v>96.449999999999989</v>
      </c>
    </row>
    <row r="85" spans="1:4" x14ac:dyDescent="0.2">
      <c r="A85" s="73" t="s">
        <v>50</v>
      </c>
      <c r="B85" s="73"/>
      <c r="C85" s="73"/>
      <c r="D85" s="73"/>
    </row>
    <row r="88" spans="1:4" x14ac:dyDescent="0.2">
      <c r="A88" s="71" t="s">
        <v>77</v>
      </c>
      <c r="B88" s="71"/>
      <c r="C88" s="71"/>
      <c r="D88" s="71"/>
    </row>
    <row r="89" spans="1:4" x14ac:dyDescent="0.2">
      <c r="A89" s="3"/>
    </row>
    <row r="90" spans="1:4" x14ac:dyDescent="0.2">
      <c r="A90" s="30" t="s">
        <v>51</v>
      </c>
      <c r="B90" s="72" t="s">
        <v>78</v>
      </c>
      <c r="C90" s="72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</f>
        <v>9.1999999999999998E-3</v>
      </c>
      <c r="D91" s="13">
        <f>TRUNC(($D$26+$D$70+$D$82)*C91,2)</f>
        <v>30.15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18.02</v>
      </c>
    </row>
    <row r="93" spans="1:4" x14ac:dyDescent="0.2">
      <c r="A93" s="32" t="s">
        <v>8</v>
      </c>
      <c r="B93" s="29" t="s">
        <v>81</v>
      </c>
      <c r="C93" s="9">
        <f>TRUNC(((5/30)/12)*2%,4)</f>
        <v>2.0000000000000001E-4</v>
      </c>
      <c r="D93" s="13">
        <f t="shared" si="2"/>
        <v>0.65</v>
      </c>
    </row>
    <row r="94" spans="1:4" x14ac:dyDescent="0.2">
      <c r="A94" s="32" t="s">
        <v>10</v>
      </c>
      <c r="B94" s="29" t="s">
        <v>82</v>
      </c>
      <c r="C94" s="9">
        <f>TRUNC(((15/30)/12)*8%,4)</f>
        <v>3.3E-3</v>
      </c>
      <c r="D94" s="13">
        <f t="shared" si="2"/>
        <v>10.81</v>
      </c>
    </row>
    <row r="95" spans="1:4" x14ac:dyDescent="0.2">
      <c r="A95" s="32" t="s">
        <v>12</v>
      </c>
      <c r="B95" s="29" t="s">
        <v>83</v>
      </c>
      <c r="C95" s="9">
        <f>((1+1/3)/12)*3%*(4/12)</f>
        <v>1.1111111111111109E-3</v>
      </c>
      <c r="D95" s="13">
        <f t="shared" si="2"/>
        <v>3.64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70" t="s">
        <v>37</v>
      </c>
      <c r="B97" s="70"/>
      <c r="C97" s="70"/>
      <c r="D97" s="19">
        <f>SUM(D91:D96)</f>
        <v>63.27</v>
      </c>
      <c r="E97" s="17"/>
      <c r="F97" s="17"/>
    </row>
    <row r="100" spans="1:6" x14ac:dyDescent="0.2">
      <c r="A100" s="71" t="s">
        <v>85</v>
      </c>
      <c r="B100" s="71"/>
      <c r="C100" s="71"/>
      <c r="D100" s="71"/>
    </row>
    <row r="101" spans="1:6" x14ac:dyDescent="0.2">
      <c r="A101" s="3"/>
    </row>
    <row r="102" spans="1:6" x14ac:dyDescent="0.2">
      <c r="A102" s="30" t="s">
        <v>52</v>
      </c>
      <c r="B102" s="72" t="s">
        <v>86</v>
      </c>
      <c r="C102" s="72"/>
      <c r="D102" s="30" t="s">
        <v>3</v>
      </c>
    </row>
    <row r="103" spans="1:6" x14ac:dyDescent="0.2">
      <c r="A103" s="32" t="s">
        <v>4</v>
      </c>
      <c r="B103" s="81" t="s">
        <v>87</v>
      </c>
      <c r="C103" s="82"/>
      <c r="D103" s="13">
        <f>((D26+D70+D82)/220)*22*0</f>
        <v>0</v>
      </c>
    </row>
    <row r="104" spans="1:6" x14ac:dyDescent="0.2">
      <c r="A104" s="70" t="s">
        <v>16</v>
      </c>
      <c r="B104" s="70"/>
      <c r="C104" s="70"/>
      <c r="D104" s="19">
        <f>SUM(D103)</f>
        <v>0</v>
      </c>
    </row>
    <row r="107" spans="1:6" x14ac:dyDescent="0.2">
      <c r="A107" s="71" t="s">
        <v>53</v>
      </c>
      <c r="B107" s="71"/>
      <c r="C107" s="71"/>
      <c r="D107" s="71"/>
    </row>
    <row r="108" spans="1:6" x14ac:dyDescent="0.2">
      <c r="A108" s="3"/>
    </row>
    <row r="109" spans="1:6" x14ac:dyDescent="0.2">
      <c r="A109" s="30">
        <v>4</v>
      </c>
      <c r="B109" s="70" t="s">
        <v>54</v>
      </c>
      <c r="C109" s="70"/>
      <c r="D109" s="30" t="s">
        <v>3</v>
      </c>
    </row>
    <row r="110" spans="1:6" x14ac:dyDescent="0.2">
      <c r="A110" s="32" t="s">
        <v>51</v>
      </c>
      <c r="B110" s="69" t="s">
        <v>78</v>
      </c>
      <c r="C110" s="69"/>
      <c r="D110" s="14">
        <f>D97</f>
        <v>63.27</v>
      </c>
    </row>
    <row r="111" spans="1:6" x14ac:dyDescent="0.2">
      <c r="A111" s="32" t="s">
        <v>52</v>
      </c>
      <c r="B111" s="69" t="s">
        <v>86</v>
      </c>
      <c r="C111" s="69"/>
      <c r="D111" s="14">
        <f>D104</f>
        <v>0</v>
      </c>
    </row>
    <row r="112" spans="1:6" x14ac:dyDescent="0.2">
      <c r="A112" s="70" t="s">
        <v>16</v>
      </c>
      <c r="B112" s="70"/>
      <c r="C112" s="70"/>
      <c r="D112" s="19">
        <f>SUM(D110:D111)</f>
        <v>63.27</v>
      </c>
    </row>
    <row r="115" spans="1:4" x14ac:dyDescent="0.2">
      <c r="A115" s="73" t="s">
        <v>55</v>
      </c>
      <c r="B115" s="73"/>
      <c r="C115" s="73"/>
      <c r="D115" s="73"/>
    </row>
    <row r="117" spans="1:4" x14ac:dyDescent="0.2">
      <c r="A117" s="30">
        <v>5</v>
      </c>
      <c r="B117" s="83" t="s">
        <v>56</v>
      </c>
      <c r="C117" s="83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v>9.24</v>
      </c>
    </row>
    <row r="119" spans="1:4" x14ac:dyDescent="0.2">
      <c r="A119" s="32" t="s">
        <v>6</v>
      </c>
      <c r="B119" s="29" t="s">
        <v>58</v>
      </c>
      <c r="C119" s="29"/>
      <c r="D119" s="13">
        <v>4.93</v>
      </c>
    </row>
    <row r="120" spans="1:4" x14ac:dyDescent="0.2">
      <c r="A120" s="32" t="s">
        <v>8</v>
      </c>
      <c r="B120" s="29" t="s">
        <v>59</v>
      </c>
      <c r="C120" s="29"/>
      <c r="D120" s="13">
        <v>14.84</v>
      </c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70" t="s">
        <v>37</v>
      </c>
      <c r="B122" s="70"/>
      <c r="C122" s="70"/>
      <c r="D122" s="20">
        <f>SUM(D118:D121)</f>
        <v>29.009999999999998</v>
      </c>
    </row>
    <row r="125" spans="1:4" x14ac:dyDescent="0.2">
      <c r="A125" s="73" t="s">
        <v>60</v>
      </c>
      <c r="B125" s="73"/>
      <c r="C125" s="73"/>
      <c r="D125" s="73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0.02</v>
      </c>
      <c r="D128" s="14">
        <f>D148*C128</f>
        <v>67.408252000000005</v>
      </c>
    </row>
    <row r="129" spans="1:4" x14ac:dyDescent="0.2">
      <c r="A129" s="32" t="s">
        <v>6</v>
      </c>
      <c r="B129" s="29" t="s">
        <v>63</v>
      </c>
      <c r="C129" s="9">
        <v>0.03</v>
      </c>
      <c r="D129" s="13">
        <f>(D148+D128)*C129</f>
        <v>103.13462556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335.29572940223318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25.195625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116.28749999999999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193.8125</v>
      </c>
    </row>
    <row r="137" spans="1:4" ht="13.5" x14ac:dyDescent="0.2">
      <c r="A137" s="78" t="s">
        <v>37</v>
      </c>
      <c r="B137" s="79"/>
      <c r="C137" s="21">
        <f>(1+C129)*(1+C128)/(1-C130)-1</f>
        <v>0.15008210180623971</v>
      </c>
      <c r="D137" s="19">
        <f>SUM(D128:D130)</f>
        <v>505.8386069622332</v>
      </c>
    </row>
    <row r="140" spans="1:4" x14ac:dyDescent="0.2">
      <c r="A140" s="73" t="s">
        <v>68</v>
      </c>
      <c r="B140" s="73"/>
      <c r="C140" s="73"/>
      <c r="D140" s="73"/>
    </row>
    <row r="142" spans="1:4" x14ac:dyDescent="0.2">
      <c r="A142" s="30"/>
      <c r="B142" s="70" t="s">
        <v>69</v>
      </c>
      <c r="C142" s="70"/>
      <c r="D142" s="30" t="s">
        <v>3</v>
      </c>
    </row>
    <row r="143" spans="1:4" x14ac:dyDescent="0.2">
      <c r="A143" s="30" t="s">
        <v>4</v>
      </c>
      <c r="B143" s="69" t="s">
        <v>1</v>
      </c>
      <c r="C143" s="69"/>
      <c r="D143" s="22">
        <f>D26</f>
        <v>1566.29</v>
      </c>
    </row>
    <row r="144" spans="1:4" x14ac:dyDescent="0.2">
      <c r="A144" s="30" t="s">
        <v>6</v>
      </c>
      <c r="B144" s="69" t="s">
        <v>17</v>
      </c>
      <c r="C144" s="69"/>
      <c r="D144" s="22">
        <f>D70</f>
        <v>1615.3926000000001</v>
      </c>
    </row>
    <row r="145" spans="1:4" x14ac:dyDescent="0.2">
      <c r="A145" s="30" t="s">
        <v>8</v>
      </c>
      <c r="B145" s="69" t="s">
        <v>45</v>
      </c>
      <c r="C145" s="69"/>
      <c r="D145" s="22">
        <f>D82</f>
        <v>96.449999999999989</v>
      </c>
    </row>
    <row r="146" spans="1:4" x14ac:dyDescent="0.2">
      <c r="A146" s="30" t="s">
        <v>10</v>
      </c>
      <c r="B146" s="69" t="s">
        <v>50</v>
      </c>
      <c r="C146" s="69"/>
      <c r="D146" s="22">
        <f>D112</f>
        <v>63.27</v>
      </c>
    </row>
    <row r="147" spans="1:4" x14ac:dyDescent="0.2">
      <c r="A147" s="30" t="s">
        <v>12</v>
      </c>
      <c r="B147" s="69" t="s">
        <v>55</v>
      </c>
      <c r="C147" s="69"/>
      <c r="D147" s="22">
        <f>D122</f>
        <v>29.009999999999998</v>
      </c>
    </row>
    <row r="148" spans="1:4" x14ac:dyDescent="0.2">
      <c r="A148" s="70" t="s">
        <v>94</v>
      </c>
      <c r="B148" s="70"/>
      <c r="C148" s="70"/>
      <c r="D148" s="23">
        <f>SUM(D143:D147)</f>
        <v>3370.4126000000001</v>
      </c>
    </row>
    <row r="149" spans="1:4" x14ac:dyDescent="0.2">
      <c r="A149" s="30" t="s">
        <v>32</v>
      </c>
      <c r="B149" s="69" t="s">
        <v>70</v>
      </c>
      <c r="C149" s="69"/>
      <c r="D149" s="24">
        <f>D137</f>
        <v>505.8386069622332</v>
      </c>
    </row>
    <row r="150" spans="1:4" x14ac:dyDescent="0.2">
      <c r="A150" s="70" t="s">
        <v>71</v>
      </c>
      <c r="B150" s="70"/>
      <c r="C150" s="70"/>
      <c r="D150" s="23">
        <f>ROUND(SUM(D148:D149),2)</f>
        <v>3876.25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46:C146"/>
    <mergeCell ref="B147:C147"/>
    <mergeCell ref="A148:C148"/>
    <mergeCell ref="B149:C149"/>
    <mergeCell ref="A150:C150"/>
  </mergeCells>
  <pageMargins left="0.51181102362204722" right="0.51181102362204722" top="1.102362204724409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topLeftCell="A4" zoomScaleNormal="115" zoomScaleSheetLayoutView="100" workbookViewId="0">
      <selection activeCell="C12" sqref="C12:D14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4" t="s">
        <v>0</v>
      </c>
      <c r="B1" s="74"/>
      <c r="C1" s="74"/>
      <c r="D1" s="74"/>
    </row>
    <row r="2" spans="1:4" ht="15.75" x14ac:dyDescent="0.25">
      <c r="A2" s="26"/>
      <c r="B2" s="26"/>
      <c r="C2" s="26"/>
      <c r="D2" s="26"/>
    </row>
    <row r="3" spans="1:4" x14ac:dyDescent="0.2">
      <c r="A3" s="76" t="s">
        <v>88</v>
      </c>
      <c r="B3" s="76"/>
      <c r="C3" s="76"/>
      <c r="D3" s="76"/>
    </row>
    <row r="4" spans="1:4" x14ac:dyDescent="0.2">
      <c r="A4" s="2"/>
      <c r="B4" s="2"/>
      <c r="C4" s="2"/>
      <c r="D4" s="2"/>
    </row>
    <row r="5" spans="1:4" ht="38.25" x14ac:dyDescent="0.2">
      <c r="A5" s="77" t="s">
        <v>89</v>
      </c>
      <c r="B5" s="77"/>
      <c r="C5" s="32" t="s">
        <v>90</v>
      </c>
      <c r="D5" s="27" t="s">
        <v>91</v>
      </c>
    </row>
    <row r="6" spans="1:4" x14ac:dyDescent="0.2">
      <c r="A6" s="84" t="s">
        <v>151</v>
      </c>
      <c r="B6" s="84"/>
      <c r="C6" s="33" t="s">
        <v>100</v>
      </c>
      <c r="D6" s="33">
        <v>3</v>
      </c>
    </row>
    <row r="8" spans="1:4" x14ac:dyDescent="0.2">
      <c r="A8" s="76" t="s">
        <v>72</v>
      </c>
      <c r="B8" s="76"/>
      <c r="C8" s="76"/>
      <c r="D8" s="76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85" t="s">
        <v>151</v>
      </c>
      <c r="D10" s="86"/>
    </row>
    <row r="11" spans="1:4" x14ac:dyDescent="0.2">
      <c r="A11" s="5">
        <v>2</v>
      </c>
      <c r="B11" s="5" t="s">
        <v>92</v>
      </c>
      <c r="C11" s="85" t="s">
        <v>150</v>
      </c>
      <c r="D11" s="86"/>
    </row>
    <row r="12" spans="1:4" x14ac:dyDescent="0.2">
      <c r="A12" s="5">
        <v>3</v>
      </c>
      <c r="B12" s="5" t="s">
        <v>74</v>
      </c>
      <c r="C12" s="87"/>
      <c r="D12" s="88"/>
    </row>
    <row r="13" spans="1:4" x14ac:dyDescent="0.2">
      <c r="A13" s="5">
        <v>4</v>
      </c>
      <c r="B13" s="5" t="s">
        <v>75</v>
      </c>
      <c r="C13" s="85"/>
      <c r="D13" s="86"/>
    </row>
    <row r="14" spans="1:4" x14ac:dyDescent="0.2">
      <c r="A14" s="5">
        <v>5</v>
      </c>
      <c r="B14" s="5" t="s">
        <v>76</v>
      </c>
      <c r="C14" s="89"/>
      <c r="D14" s="86"/>
    </row>
    <row r="16" spans="1:4" x14ac:dyDescent="0.2">
      <c r="A16" s="76" t="s">
        <v>1</v>
      </c>
      <c r="B16" s="76"/>
      <c r="C16" s="76"/>
      <c r="D16" s="76"/>
    </row>
    <row r="18" spans="1:4" x14ac:dyDescent="0.2">
      <c r="A18" s="30">
        <v>1</v>
      </c>
      <c r="B18" s="70" t="s">
        <v>2</v>
      </c>
      <c r="C18" s="70"/>
      <c r="D18" s="30" t="s">
        <v>3</v>
      </c>
    </row>
    <row r="19" spans="1:4" x14ac:dyDescent="0.2">
      <c r="A19" s="32" t="s">
        <v>4</v>
      </c>
      <c r="B19" s="69" t="s">
        <v>5</v>
      </c>
      <c r="C19" s="69"/>
      <c r="D19" s="13">
        <v>2572.88</v>
      </c>
    </row>
    <row r="20" spans="1:4" x14ac:dyDescent="0.2">
      <c r="A20" s="32" t="s">
        <v>6</v>
      </c>
      <c r="B20" s="69" t="s">
        <v>7</v>
      </c>
      <c r="C20" s="69"/>
      <c r="D20" s="13"/>
    </row>
    <row r="21" spans="1:4" x14ac:dyDescent="0.2">
      <c r="A21" s="32" t="s">
        <v>8</v>
      </c>
      <c r="B21" s="69" t="s">
        <v>9</v>
      </c>
      <c r="C21" s="69"/>
      <c r="D21" s="13"/>
    </row>
    <row r="22" spans="1:4" x14ac:dyDescent="0.2">
      <c r="A22" s="32" t="s">
        <v>10</v>
      </c>
      <c r="B22" s="69" t="s">
        <v>11</v>
      </c>
      <c r="C22" s="69"/>
      <c r="D22" s="13"/>
    </row>
    <row r="23" spans="1:4" x14ac:dyDescent="0.2">
      <c r="A23" s="32" t="s">
        <v>12</v>
      </c>
      <c r="B23" s="69" t="s">
        <v>13</v>
      </c>
      <c r="C23" s="69"/>
      <c r="D23" s="13"/>
    </row>
    <row r="24" spans="1:4" x14ac:dyDescent="0.2">
      <c r="A24" s="32"/>
      <c r="B24" s="69"/>
      <c r="C24" s="69"/>
      <c r="D24" s="13"/>
    </row>
    <row r="25" spans="1:4" x14ac:dyDescent="0.2">
      <c r="A25" s="32" t="s">
        <v>14</v>
      </c>
      <c r="B25" s="69" t="s">
        <v>15</v>
      </c>
      <c r="C25" s="69"/>
      <c r="D25" s="13"/>
    </row>
    <row r="26" spans="1:4" x14ac:dyDescent="0.2">
      <c r="A26" s="70" t="s">
        <v>16</v>
      </c>
      <c r="B26" s="70"/>
      <c r="C26" s="70"/>
      <c r="D26" s="20">
        <f>SUM(D19:D25)</f>
        <v>2572.88</v>
      </c>
    </row>
    <row r="29" spans="1:4" x14ac:dyDescent="0.2">
      <c r="A29" s="73" t="s">
        <v>17</v>
      </c>
      <c r="B29" s="73"/>
      <c r="C29" s="73"/>
      <c r="D29" s="73"/>
    </row>
    <row r="30" spans="1:4" x14ac:dyDescent="0.2">
      <c r="A30" s="3"/>
    </row>
    <row r="31" spans="1:4" x14ac:dyDescent="0.2">
      <c r="A31" s="71" t="s">
        <v>18</v>
      </c>
      <c r="B31" s="71"/>
      <c r="C31" s="71"/>
      <c r="D31" s="71"/>
    </row>
    <row r="33" spans="1:4" x14ac:dyDescent="0.2">
      <c r="A33" s="30" t="s">
        <v>19</v>
      </c>
      <c r="B33" s="70" t="s">
        <v>20</v>
      </c>
      <c r="C33" s="70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214.32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285.83999999999997</v>
      </c>
    </row>
    <row r="36" spans="1:4" x14ac:dyDescent="0.2">
      <c r="A36" s="70" t="s">
        <v>16</v>
      </c>
      <c r="B36" s="70"/>
      <c r="C36" s="28">
        <f>SUM(C34:C35)</f>
        <v>0.19440000000000002</v>
      </c>
      <c r="D36" s="19">
        <f>SUM(D34:D35)</f>
        <v>500.15999999999997</v>
      </c>
    </row>
    <row r="39" spans="1:4" x14ac:dyDescent="0.2">
      <c r="A39" s="75" t="s">
        <v>23</v>
      </c>
      <c r="B39" s="75"/>
      <c r="C39" s="75"/>
      <c r="D39" s="75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614.6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76.819999999999993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92.19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46.09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30.73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18.43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6.14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245.84</v>
      </c>
    </row>
    <row r="50" spans="1:4" x14ac:dyDescent="0.2">
      <c r="A50" s="70" t="s">
        <v>37</v>
      </c>
      <c r="B50" s="70"/>
      <c r="C50" s="15">
        <f>SUM(C42:C49)</f>
        <v>0.36800000000000005</v>
      </c>
      <c r="D50" s="19">
        <f>SUM(D42:D49)</f>
        <v>1130.8400000000001</v>
      </c>
    </row>
    <row r="53" spans="1:4" x14ac:dyDescent="0.2">
      <c r="A53" s="71" t="s">
        <v>38</v>
      </c>
      <c r="B53" s="71"/>
      <c r="C53" s="71"/>
      <c r="D53" s="71"/>
    </row>
    <row r="55" spans="1:4" x14ac:dyDescent="0.2">
      <c r="A55" s="30" t="s">
        <v>39</v>
      </c>
      <c r="B55" s="72" t="s">
        <v>40</v>
      </c>
      <c r="C55" s="72"/>
      <c r="D55" s="30" t="s">
        <v>3</v>
      </c>
    </row>
    <row r="56" spans="1:4" x14ac:dyDescent="0.2">
      <c r="A56" s="32" t="s">
        <v>4</v>
      </c>
      <c r="B56" s="69" t="s">
        <v>41</v>
      </c>
      <c r="C56" s="69"/>
      <c r="D56" s="13">
        <f>IF((22*2*5.2)-(D19*0.06)&gt;0,(22*2*5.2)-(D19*0.06),0)</f>
        <v>74.427199999999999</v>
      </c>
    </row>
    <row r="57" spans="1:4" x14ac:dyDescent="0.2">
      <c r="A57" s="32" t="s">
        <v>6</v>
      </c>
      <c r="B57" s="69" t="s">
        <v>42</v>
      </c>
      <c r="C57" s="69"/>
      <c r="D57" s="13">
        <f>17*0.8*22</f>
        <v>299.20000000000005</v>
      </c>
    </row>
    <row r="58" spans="1:4" x14ac:dyDescent="0.2">
      <c r="A58" s="32" t="s">
        <v>8</v>
      </c>
      <c r="B58" s="69" t="s">
        <v>101</v>
      </c>
      <c r="C58" s="69"/>
      <c r="D58" s="13">
        <v>170</v>
      </c>
    </row>
    <row r="59" spans="1:4" x14ac:dyDescent="0.2">
      <c r="A59" s="32" t="s">
        <v>10</v>
      </c>
      <c r="B59" s="69" t="s">
        <v>102</v>
      </c>
      <c r="C59" s="69"/>
      <c r="D59" s="13">
        <v>14</v>
      </c>
    </row>
    <row r="60" spans="1:4" x14ac:dyDescent="0.2">
      <c r="A60" s="32" t="s">
        <v>10</v>
      </c>
      <c r="B60" s="69" t="s">
        <v>103</v>
      </c>
      <c r="C60" s="69"/>
      <c r="D60" s="13">
        <v>4.4800000000000004</v>
      </c>
    </row>
    <row r="61" spans="1:4" x14ac:dyDescent="0.2">
      <c r="A61" s="70" t="s">
        <v>16</v>
      </c>
      <c r="B61" s="70"/>
      <c r="C61" s="70"/>
      <c r="D61" s="19">
        <f>SUM(D56:D60)</f>
        <v>562.10720000000003</v>
      </c>
    </row>
    <row r="64" spans="1:4" x14ac:dyDescent="0.2">
      <c r="A64" s="71" t="s">
        <v>43</v>
      </c>
      <c r="B64" s="71"/>
      <c r="C64" s="71"/>
      <c r="D64" s="71"/>
    </row>
    <row r="66" spans="1:5" x14ac:dyDescent="0.2">
      <c r="A66" s="30">
        <v>2</v>
      </c>
      <c r="B66" s="72" t="s">
        <v>44</v>
      </c>
      <c r="C66" s="72"/>
      <c r="D66" s="30" t="s">
        <v>3</v>
      </c>
    </row>
    <row r="67" spans="1:5" x14ac:dyDescent="0.2">
      <c r="A67" s="32" t="s">
        <v>19</v>
      </c>
      <c r="B67" s="69" t="s">
        <v>20</v>
      </c>
      <c r="C67" s="69"/>
      <c r="D67" s="14">
        <f>D36</f>
        <v>500.15999999999997</v>
      </c>
    </row>
    <row r="68" spans="1:5" x14ac:dyDescent="0.2">
      <c r="A68" s="32" t="s">
        <v>24</v>
      </c>
      <c r="B68" s="69" t="s">
        <v>25</v>
      </c>
      <c r="C68" s="69"/>
      <c r="D68" s="14">
        <f>D50</f>
        <v>1130.8400000000001</v>
      </c>
    </row>
    <row r="69" spans="1:5" x14ac:dyDescent="0.2">
      <c r="A69" s="32" t="s">
        <v>39</v>
      </c>
      <c r="B69" s="69" t="s">
        <v>40</v>
      </c>
      <c r="C69" s="69"/>
      <c r="D69" s="14">
        <f>D61</f>
        <v>562.10720000000003</v>
      </c>
    </row>
    <row r="70" spans="1:5" x14ac:dyDescent="0.2">
      <c r="A70" s="70" t="s">
        <v>16</v>
      </c>
      <c r="B70" s="70"/>
      <c r="C70" s="70"/>
      <c r="D70" s="19">
        <f>SUM(D67:D69)</f>
        <v>2193.1071999999999</v>
      </c>
    </row>
    <row r="71" spans="1:5" x14ac:dyDescent="0.2">
      <c r="A71" s="4"/>
      <c r="E71" s="18"/>
    </row>
    <row r="73" spans="1:5" x14ac:dyDescent="0.2">
      <c r="A73" s="73" t="s">
        <v>45</v>
      </c>
      <c r="B73" s="73"/>
      <c r="C73" s="73"/>
      <c r="D73" s="73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2" t="s">
        <v>46</v>
      </c>
      <c r="C75" s="72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TRUNC(((1/12)*5%),4)</f>
        <v>4.1000000000000003E-3</v>
      </c>
      <c r="D76" s="13">
        <f>TRUNC($D$26*C76,2)</f>
        <v>10.54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0.84</v>
      </c>
    </row>
    <row r="78" spans="1:5" x14ac:dyDescent="0.2">
      <c r="A78" s="32" t="s">
        <v>8</v>
      </c>
      <c r="B78" s="10" t="s">
        <v>98</v>
      </c>
      <c r="C78" s="9">
        <f>TRUNC(8%*5%*40%,4)</f>
        <v>1.6000000000000001E-3</v>
      </c>
      <c r="D78" s="13">
        <f>TRUNC($D$26*C78,2)</f>
        <v>4.1100000000000003</v>
      </c>
    </row>
    <row r="79" spans="1:5" x14ac:dyDescent="0.2">
      <c r="A79" s="32" t="s">
        <v>10</v>
      </c>
      <c r="B79" s="10" t="s">
        <v>49</v>
      </c>
      <c r="C79" s="9">
        <f>TRUNC(((7/30)/12)*95%,4)</f>
        <v>1.84E-2</v>
      </c>
      <c r="D79" s="13">
        <f>TRUNC($D$26*C79,2)</f>
        <v>47.34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17.420000000000002</v>
      </c>
    </row>
    <row r="81" spans="1:4" x14ac:dyDescent="0.2">
      <c r="A81" s="32" t="s">
        <v>32</v>
      </c>
      <c r="B81" s="10" t="s">
        <v>99</v>
      </c>
      <c r="C81" s="9">
        <f>TRUNC(8%*95%*40%,4)</f>
        <v>3.04E-2</v>
      </c>
      <c r="D81" s="13">
        <f t="shared" ref="D81" si="1">TRUNC($D$26*C81,2)</f>
        <v>78.209999999999994</v>
      </c>
    </row>
    <row r="82" spans="1:4" x14ac:dyDescent="0.2">
      <c r="A82" s="78" t="s">
        <v>16</v>
      </c>
      <c r="B82" s="79"/>
      <c r="C82" s="80"/>
      <c r="D82" s="19">
        <f>SUM(D76:D81)</f>
        <v>158.45999999999998</v>
      </c>
    </row>
    <row r="85" spans="1:4" x14ac:dyDescent="0.2">
      <c r="A85" s="73" t="s">
        <v>50</v>
      </c>
      <c r="B85" s="73"/>
      <c r="C85" s="73"/>
      <c r="D85" s="73"/>
    </row>
    <row r="88" spans="1:4" x14ac:dyDescent="0.2">
      <c r="A88" s="71" t="s">
        <v>77</v>
      </c>
      <c r="B88" s="71"/>
      <c r="C88" s="71"/>
      <c r="D88" s="71"/>
    </row>
    <row r="89" spans="1:4" x14ac:dyDescent="0.2">
      <c r="A89" s="3"/>
    </row>
    <row r="90" spans="1:4" x14ac:dyDescent="0.2">
      <c r="A90" s="30" t="s">
        <v>51</v>
      </c>
      <c r="B90" s="72" t="s">
        <v>78</v>
      </c>
      <c r="C90" s="72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</f>
        <v>9.1999999999999998E-3</v>
      </c>
      <c r="D91" s="13">
        <f>TRUNC(($D$26+$D$70+$D$82)*C91,2)</f>
        <v>45.3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27.08</v>
      </c>
    </row>
    <row r="93" spans="1:4" x14ac:dyDescent="0.2">
      <c r="A93" s="32" t="s">
        <v>8</v>
      </c>
      <c r="B93" s="29" t="s">
        <v>81</v>
      </c>
      <c r="C93" s="9">
        <f>TRUNC(((5/30)/12)*2%,4)</f>
        <v>2.0000000000000001E-4</v>
      </c>
      <c r="D93" s="13">
        <f t="shared" si="2"/>
        <v>0.98</v>
      </c>
    </row>
    <row r="94" spans="1:4" x14ac:dyDescent="0.2">
      <c r="A94" s="32" t="s">
        <v>10</v>
      </c>
      <c r="B94" s="29" t="s">
        <v>82</v>
      </c>
      <c r="C94" s="9">
        <f>TRUNC(((15/30)/12)*8%,4)</f>
        <v>3.3E-3</v>
      </c>
      <c r="D94" s="13">
        <f t="shared" si="2"/>
        <v>16.25</v>
      </c>
    </row>
    <row r="95" spans="1:4" x14ac:dyDescent="0.2">
      <c r="A95" s="32" t="s">
        <v>12</v>
      </c>
      <c r="B95" s="29" t="s">
        <v>83</v>
      </c>
      <c r="C95" s="9">
        <f>((1+1/3)/12)*3%*(4/12)</f>
        <v>1.1111111111111109E-3</v>
      </c>
      <c r="D95" s="13">
        <f t="shared" si="2"/>
        <v>5.47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70" t="s">
        <v>37</v>
      </c>
      <c r="B97" s="70"/>
      <c r="C97" s="70"/>
      <c r="D97" s="19">
        <f>SUM(D91:D96)</f>
        <v>95.08</v>
      </c>
      <c r="E97" s="17"/>
      <c r="F97" s="17"/>
    </row>
    <row r="100" spans="1:6" x14ac:dyDescent="0.2">
      <c r="A100" s="71" t="s">
        <v>85</v>
      </c>
      <c r="B100" s="71"/>
      <c r="C100" s="71"/>
      <c r="D100" s="71"/>
    </row>
    <row r="101" spans="1:6" x14ac:dyDescent="0.2">
      <c r="A101" s="3"/>
    </row>
    <row r="102" spans="1:6" x14ac:dyDescent="0.2">
      <c r="A102" s="30" t="s">
        <v>52</v>
      </c>
      <c r="B102" s="72" t="s">
        <v>86</v>
      </c>
      <c r="C102" s="72"/>
      <c r="D102" s="30" t="s">
        <v>3</v>
      </c>
    </row>
    <row r="103" spans="1:6" x14ac:dyDescent="0.2">
      <c r="A103" s="32" t="s">
        <v>4</v>
      </c>
      <c r="B103" s="81" t="s">
        <v>87</v>
      </c>
      <c r="C103" s="82"/>
      <c r="D103" s="13">
        <f>((D26+D70+D82)/220)*22*0</f>
        <v>0</v>
      </c>
    </row>
    <row r="104" spans="1:6" x14ac:dyDescent="0.2">
      <c r="A104" s="70" t="s">
        <v>16</v>
      </c>
      <c r="B104" s="70"/>
      <c r="C104" s="70"/>
      <c r="D104" s="19">
        <f>SUM(D103)</f>
        <v>0</v>
      </c>
    </row>
    <row r="107" spans="1:6" x14ac:dyDescent="0.2">
      <c r="A107" s="71" t="s">
        <v>53</v>
      </c>
      <c r="B107" s="71"/>
      <c r="C107" s="71"/>
      <c r="D107" s="71"/>
    </row>
    <row r="108" spans="1:6" x14ac:dyDescent="0.2">
      <c r="A108" s="3"/>
    </row>
    <row r="109" spans="1:6" x14ac:dyDescent="0.2">
      <c r="A109" s="30">
        <v>4</v>
      </c>
      <c r="B109" s="70" t="s">
        <v>54</v>
      </c>
      <c r="C109" s="70"/>
      <c r="D109" s="30" t="s">
        <v>3</v>
      </c>
    </row>
    <row r="110" spans="1:6" x14ac:dyDescent="0.2">
      <c r="A110" s="32" t="s">
        <v>51</v>
      </c>
      <c r="B110" s="69" t="s">
        <v>78</v>
      </c>
      <c r="C110" s="69"/>
      <c r="D110" s="14">
        <f>D97</f>
        <v>95.08</v>
      </c>
    </row>
    <row r="111" spans="1:6" x14ac:dyDescent="0.2">
      <c r="A111" s="32" t="s">
        <v>52</v>
      </c>
      <c r="B111" s="69" t="s">
        <v>86</v>
      </c>
      <c r="C111" s="69"/>
      <c r="D111" s="14">
        <f>D104</f>
        <v>0</v>
      </c>
    </row>
    <row r="112" spans="1:6" x14ac:dyDescent="0.2">
      <c r="A112" s="70" t="s">
        <v>16</v>
      </c>
      <c r="B112" s="70"/>
      <c r="C112" s="70"/>
      <c r="D112" s="19">
        <f>SUM(D110:D111)</f>
        <v>95.08</v>
      </c>
    </row>
    <row r="115" spans="1:4" x14ac:dyDescent="0.2">
      <c r="A115" s="73" t="s">
        <v>55</v>
      </c>
      <c r="B115" s="73"/>
      <c r="C115" s="73"/>
      <c r="D115" s="73"/>
    </row>
    <row r="117" spans="1:4" x14ac:dyDescent="0.2">
      <c r="A117" s="30">
        <v>5</v>
      </c>
      <c r="B117" s="83" t="s">
        <v>56</v>
      </c>
      <c r="C117" s="83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v>9.24</v>
      </c>
    </row>
    <row r="119" spans="1:4" x14ac:dyDescent="0.2">
      <c r="A119" s="32" t="s">
        <v>6</v>
      </c>
      <c r="B119" s="29" t="s">
        <v>58</v>
      </c>
      <c r="C119" s="29"/>
      <c r="D119" s="13">
        <v>4.93</v>
      </c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70" t="s">
        <v>37</v>
      </c>
      <c r="B122" s="70"/>
      <c r="C122" s="70"/>
      <c r="D122" s="20">
        <f>SUM(D118:D121)</f>
        <v>14.17</v>
      </c>
    </row>
    <row r="125" spans="1:4" x14ac:dyDescent="0.2">
      <c r="A125" s="73" t="s">
        <v>60</v>
      </c>
      <c r="B125" s="73"/>
      <c r="C125" s="73"/>
      <c r="D125" s="73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0.02</v>
      </c>
      <c r="D128" s="14">
        <f>D148*C128</f>
        <v>100.67394399999999</v>
      </c>
    </row>
    <row r="129" spans="1:4" x14ac:dyDescent="0.2">
      <c r="A129" s="32" t="s">
        <v>6</v>
      </c>
      <c r="B129" s="29" t="s">
        <v>63</v>
      </c>
      <c r="C129" s="9">
        <v>0.03</v>
      </c>
      <c r="D129" s="13">
        <f>(D148+D128)*C129</f>
        <v>154.03113431999998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500.76277731218391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37.629604999999998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173.67509999999999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289.45850000000002</v>
      </c>
    </row>
    <row r="137" spans="1:4" ht="13.5" x14ac:dyDescent="0.2">
      <c r="A137" s="78" t="s">
        <v>37</v>
      </c>
      <c r="B137" s="79"/>
      <c r="C137" s="21">
        <f>(1+C129)*(1+C128)/(1-C130)-1</f>
        <v>0.15008210180623971</v>
      </c>
      <c r="D137" s="19">
        <f>SUM(D128:D130)</f>
        <v>755.46785563218396</v>
      </c>
    </row>
    <row r="140" spans="1:4" x14ac:dyDescent="0.2">
      <c r="A140" s="73" t="s">
        <v>68</v>
      </c>
      <c r="B140" s="73"/>
      <c r="C140" s="73"/>
      <c r="D140" s="73"/>
    </row>
    <row r="142" spans="1:4" x14ac:dyDescent="0.2">
      <c r="A142" s="30"/>
      <c r="B142" s="70" t="s">
        <v>69</v>
      </c>
      <c r="C142" s="70"/>
      <c r="D142" s="30" t="s">
        <v>3</v>
      </c>
    </row>
    <row r="143" spans="1:4" x14ac:dyDescent="0.2">
      <c r="A143" s="30" t="s">
        <v>4</v>
      </c>
      <c r="B143" s="69" t="s">
        <v>1</v>
      </c>
      <c r="C143" s="69"/>
      <c r="D143" s="22">
        <f>D26</f>
        <v>2572.88</v>
      </c>
    </row>
    <row r="144" spans="1:4" x14ac:dyDescent="0.2">
      <c r="A144" s="30" t="s">
        <v>6</v>
      </c>
      <c r="B144" s="69" t="s">
        <v>17</v>
      </c>
      <c r="C144" s="69"/>
      <c r="D144" s="22">
        <f>D70</f>
        <v>2193.1071999999999</v>
      </c>
    </row>
    <row r="145" spans="1:4" x14ac:dyDescent="0.2">
      <c r="A145" s="30" t="s">
        <v>8</v>
      </c>
      <c r="B145" s="69" t="s">
        <v>45</v>
      </c>
      <c r="C145" s="69"/>
      <c r="D145" s="22">
        <f>D82</f>
        <v>158.45999999999998</v>
      </c>
    </row>
    <row r="146" spans="1:4" x14ac:dyDescent="0.2">
      <c r="A146" s="30" t="s">
        <v>10</v>
      </c>
      <c r="B146" s="69" t="s">
        <v>50</v>
      </c>
      <c r="C146" s="69"/>
      <c r="D146" s="22">
        <f>D112</f>
        <v>95.08</v>
      </c>
    </row>
    <row r="147" spans="1:4" x14ac:dyDescent="0.2">
      <c r="A147" s="30" t="s">
        <v>12</v>
      </c>
      <c r="B147" s="69" t="s">
        <v>55</v>
      </c>
      <c r="C147" s="69"/>
      <c r="D147" s="22">
        <f>D122</f>
        <v>14.17</v>
      </c>
    </row>
    <row r="148" spans="1:4" x14ac:dyDescent="0.2">
      <c r="A148" s="70" t="s">
        <v>94</v>
      </c>
      <c r="B148" s="70"/>
      <c r="C148" s="70"/>
      <c r="D148" s="23">
        <f>SUM(D143:D147)</f>
        <v>5033.6971999999996</v>
      </c>
    </row>
    <row r="149" spans="1:4" x14ac:dyDescent="0.2">
      <c r="A149" s="30" t="s">
        <v>32</v>
      </c>
      <c r="B149" s="69" t="s">
        <v>70</v>
      </c>
      <c r="C149" s="69"/>
      <c r="D149" s="24">
        <f>D137</f>
        <v>755.46785563218396</v>
      </c>
    </row>
    <row r="150" spans="1:4" x14ac:dyDescent="0.2">
      <c r="A150" s="70" t="s">
        <v>71</v>
      </c>
      <c r="B150" s="70"/>
      <c r="C150" s="70"/>
      <c r="D150" s="23">
        <f>ROUND(SUM(D148:D149),2)</f>
        <v>5789.17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46:C146"/>
    <mergeCell ref="B147:C147"/>
    <mergeCell ref="A148:C148"/>
    <mergeCell ref="B149:C149"/>
    <mergeCell ref="A150:C150"/>
  </mergeCells>
  <pageMargins left="0.51181102362204722" right="0.51181102362204722" top="1.102362204724409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zoomScaleNormal="115" zoomScaleSheetLayoutView="100" workbookViewId="0">
      <selection activeCell="C12" sqref="C12:D14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4" t="s">
        <v>0</v>
      </c>
      <c r="B1" s="74"/>
      <c r="C1" s="74"/>
      <c r="D1" s="74"/>
    </row>
    <row r="2" spans="1:4" ht="15.75" x14ac:dyDescent="0.25">
      <c r="A2" s="26"/>
      <c r="B2" s="26"/>
      <c r="C2" s="26"/>
      <c r="D2" s="26"/>
    </row>
    <row r="3" spans="1:4" x14ac:dyDescent="0.2">
      <c r="A3" s="76" t="s">
        <v>88</v>
      </c>
      <c r="B3" s="76"/>
      <c r="C3" s="76"/>
      <c r="D3" s="76"/>
    </row>
    <row r="4" spans="1:4" x14ac:dyDescent="0.2">
      <c r="A4" s="2"/>
      <c r="B4" s="2"/>
      <c r="C4" s="2"/>
      <c r="D4" s="2"/>
    </row>
    <row r="5" spans="1:4" ht="38.25" x14ac:dyDescent="0.2">
      <c r="A5" s="77" t="s">
        <v>89</v>
      </c>
      <c r="B5" s="77"/>
      <c r="C5" s="32" t="s">
        <v>90</v>
      </c>
      <c r="D5" s="27" t="s">
        <v>91</v>
      </c>
    </row>
    <row r="6" spans="1:4" x14ac:dyDescent="0.2">
      <c r="A6" s="84" t="s">
        <v>152</v>
      </c>
      <c r="B6" s="84"/>
      <c r="C6" s="33" t="s">
        <v>100</v>
      </c>
      <c r="D6" s="33">
        <v>1</v>
      </c>
    </row>
    <row r="8" spans="1:4" x14ac:dyDescent="0.2">
      <c r="A8" s="76" t="s">
        <v>72</v>
      </c>
      <c r="B8" s="76"/>
      <c r="C8" s="76"/>
      <c r="D8" s="76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85" t="s">
        <v>152</v>
      </c>
      <c r="D10" s="86"/>
    </row>
    <row r="11" spans="1:4" x14ac:dyDescent="0.2">
      <c r="A11" s="5">
        <v>2</v>
      </c>
      <c r="B11" s="5" t="s">
        <v>92</v>
      </c>
      <c r="C11" s="85" t="s">
        <v>153</v>
      </c>
      <c r="D11" s="86"/>
    </row>
    <row r="12" spans="1:4" x14ac:dyDescent="0.2">
      <c r="A12" s="5">
        <v>3</v>
      </c>
      <c r="B12" s="5" t="s">
        <v>74</v>
      </c>
      <c r="C12" s="87"/>
      <c r="D12" s="88"/>
    </row>
    <row r="13" spans="1:4" x14ac:dyDescent="0.2">
      <c r="A13" s="5">
        <v>4</v>
      </c>
      <c r="B13" s="5" t="s">
        <v>75</v>
      </c>
      <c r="C13" s="85"/>
      <c r="D13" s="86"/>
    </row>
    <row r="14" spans="1:4" x14ac:dyDescent="0.2">
      <c r="A14" s="5">
        <v>5</v>
      </c>
      <c r="B14" s="5" t="s">
        <v>76</v>
      </c>
      <c r="C14" s="89"/>
      <c r="D14" s="86"/>
    </row>
    <row r="16" spans="1:4" x14ac:dyDescent="0.2">
      <c r="A16" s="76" t="s">
        <v>1</v>
      </c>
      <c r="B16" s="76"/>
      <c r="C16" s="76"/>
      <c r="D16" s="76"/>
    </row>
    <row r="18" spans="1:4" x14ac:dyDescent="0.2">
      <c r="A18" s="30">
        <v>1</v>
      </c>
      <c r="B18" s="70" t="s">
        <v>2</v>
      </c>
      <c r="C18" s="70"/>
      <c r="D18" s="30" t="s">
        <v>3</v>
      </c>
    </row>
    <row r="19" spans="1:4" x14ac:dyDescent="0.2">
      <c r="A19" s="32" t="s">
        <v>4</v>
      </c>
      <c r="B19" s="69" t="s">
        <v>5</v>
      </c>
      <c r="C19" s="69"/>
      <c r="D19" s="13">
        <v>2326.08</v>
      </c>
    </row>
    <row r="20" spans="1:4" x14ac:dyDescent="0.2">
      <c r="A20" s="32" t="s">
        <v>6</v>
      </c>
      <c r="B20" s="69" t="s">
        <v>7</v>
      </c>
      <c r="C20" s="69"/>
      <c r="D20" s="13"/>
    </row>
    <row r="21" spans="1:4" x14ac:dyDescent="0.2">
      <c r="A21" s="32" t="s">
        <v>8</v>
      </c>
      <c r="B21" s="69" t="s">
        <v>9</v>
      </c>
      <c r="C21" s="69"/>
      <c r="D21" s="13"/>
    </row>
    <row r="22" spans="1:4" x14ac:dyDescent="0.2">
      <c r="A22" s="32" t="s">
        <v>10</v>
      </c>
      <c r="B22" s="69" t="s">
        <v>11</v>
      </c>
      <c r="C22" s="69"/>
      <c r="D22" s="13"/>
    </row>
    <row r="23" spans="1:4" x14ac:dyDescent="0.2">
      <c r="A23" s="32" t="s">
        <v>12</v>
      </c>
      <c r="B23" s="69" t="s">
        <v>13</v>
      </c>
      <c r="C23" s="69"/>
      <c r="D23" s="13"/>
    </row>
    <row r="24" spans="1:4" x14ac:dyDescent="0.2">
      <c r="A24" s="32"/>
      <c r="B24" s="69"/>
      <c r="C24" s="69"/>
      <c r="D24" s="13"/>
    </row>
    <row r="25" spans="1:4" x14ac:dyDescent="0.2">
      <c r="A25" s="32" t="s">
        <v>14</v>
      </c>
      <c r="B25" s="69" t="s">
        <v>15</v>
      </c>
      <c r="C25" s="69"/>
      <c r="D25" s="13"/>
    </row>
    <row r="26" spans="1:4" x14ac:dyDescent="0.2">
      <c r="A26" s="70" t="s">
        <v>16</v>
      </c>
      <c r="B26" s="70"/>
      <c r="C26" s="70"/>
      <c r="D26" s="20">
        <f>SUM(D19:D25)</f>
        <v>2326.08</v>
      </c>
    </row>
    <row r="29" spans="1:4" x14ac:dyDescent="0.2">
      <c r="A29" s="73" t="s">
        <v>17</v>
      </c>
      <c r="B29" s="73"/>
      <c r="C29" s="73"/>
      <c r="D29" s="73"/>
    </row>
    <row r="30" spans="1:4" x14ac:dyDescent="0.2">
      <c r="A30" s="3"/>
    </row>
    <row r="31" spans="1:4" x14ac:dyDescent="0.2">
      <c r="A31" s="71" t="s">
        <v>18</v>
      </c>
      <c r="B31" s="71"/>
      <c r="C31" s="71"/>
      <c r="D31" s="71"/>
    </row>
    <row r="33" spans="1:4" x14ac:dyDescent="0.2">
      <c r="A33" s="30" t="s">
        <v>19</v>
      </c>
      <c r="B33" s="70" t="s">
        <v>20</v>
      </c>
      <c r="C33" s="70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193.76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258.42</v>
      </c>
    </row>
    <row r="36" spans="1:4" x14ac:dyDescent="0.2">
      <c r="A36" s="70" t="s">
        <v>16</v>
      </c>
      <c r="B36" s="70"/>
      <c r="C36" s="28">
        <f>SUM(C34:C35)</f>
        <v>0.19440000000000002</v>
      </c>
      <c r="D36" s="19">
        <f>SUM(D34:D35)</f>
        <v>452.18</v>
      </c>
    </row>
    <row r="39" spans="1:4" x14ac:dyDescent="0.2">
      <c r="A39" s="75" t="s">
        <v>23</v>
      </c>
      <c r="B39" s="75"/>
      <c r="C39" s="75"/>
      <c r="D39" s="75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555.65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69.45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83.34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41.67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27.78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16.66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5.55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222.26</v>
      </c>
    </row>
    <row r="50" spans="1:4" x14ac:dyDescent="0.2">
      <c r="A50" s="70" t="s">
        <v>37</v>
      </c>
      <c r="B50" s="70"/>
      <c r="C50" s="15">
        <f>SUM(C42:C49)</f>
        <v>0.36800000000000005</v>
      </c>
      <c r="D50" s="19">
        <f>SUM(D42:D49)</f>
        <v>1022.3599999999999</v>
      </c>
    </row>
    <row r="53" spans="1:4" x14ac:dyDescent="0.2">
      <c r="A53" s="71" t="s">
        <v>38</v>
      </c>
      <c r="B53" s="71"/>
      <c r="C53" s="71"/>
      <c r="D53" s="71"/>
    </row>
    <row r="55" spans="1:4" x14ac:dyDescent="0.2">
      <c r="A55" s="30" t="s">
        <v>39</v>
      </c>
      <c r="B55" s="72" t="s">
        <v>40</v>
      </c>
      <c r="C55" s="72"/>
      <c r="D55" s="30" t="s">
        <v>3</v>
      </c>
    </row>
    <row r="56" spans="1:4" x14ac:dyDescent="0.2">
      <c r="A56" s="32" t="s">
        <v>4</v>
      </c>
      <c r="B56" s="69" t="s">
        <v>41</v>
      </c>
      <c r="C56" s="69"/>
      <c r="D56" s="13">
        <f>IF((22*2*5.2)-(D19*0.06)&gt;0,(22*2*5.2)-(D19*0.06),0)</f>
        <v>89.23520000000002</v>
      </c>
    </row>
    <row r="57" spans="1:4" x14ac:dyDescent="0.2">
      <c r="A57" s="32" t="s">
        <v>6</v>
      </c>
      <c r="B57" s="69" t="s">
        <v>42</v>
      </c>
      <c r="C57" s="69"/>
      <c r="D57" s="13">
        <f>17*0.8*22</f>
        <v>299.20000000000005</v>
      </c>
    </row>
    <row r="58" spans="1:4" x14ac:dyDescent="0.2">
      <c r="A58" s="32" t="s">
        <v>8</v>
      </c>
      <c r="B58" s="69" t="s">
        <v>101</v>
      </c>
      <c r="C58" s="69"/>
      <c r="D58" s="13">
        <v>170</v>
      </c>
    </row>
    <row r="59" spans="1:4" x14ac:dyDescent="0.2">
      <c r="A59" s="32" t="s">
        <v>10</v>
      </c>
      <c r="B59" s="69" t="s">
        <v>102</v>
      </c>
      <c r="C59" s="69"/>
      <c r="D59" s="13">
        <v>14</v>
      </c>
    </row>
    <row r="60" spans="1:4" x14ac:dyDescent="0.2">
      <c r="A60" s="32" t="s">
        <v>10</v>
      </c>
      <c r="B60" s="69" t="s">
        <v>103</v>
      </c>
      <c r="C60" s="69"/>
      <c r="D60" s="13">
        <v>4.4800000000000004</v>
      </c>
    </row>
    <row r="61" spans="1:4" x14ac:dyDescent="0.2">
      <c r="A61" s="70" t="s">
        <v>16</v>
      </c>
      <c r="B61" s="70"/>
      <c r="C61" s="70"/>
      <c r="D61" s="19">
        <f>SUM(D56:D60)</f>
        <v>576.91520000000014</v>
      </c>
    </row>
    <row r="64" spans="1:4" x14ac:dyDescent="0.2">
      <c r="A64" s="71" t="s">
        <v>43</v>
      </c>
      <c r="B64" s="71"/>
      <c r="C64" s="71"/>
      <c r="D64" s="71"/>
    </row>
    <row r="66" spans="1:5" x14ac:dyDescent="0.2">
      <c r="A66" s="30">
        <v>2</v>
      </c>
      <c r="B66" s="72" t="s">
        <v>44</v>
      </c>
      <c r="C66" s="72"/>
      <c r="D66" s="30" t="s">
        <v>3</v>
      </c>
    </row>
    <row r="67" spans="1:5" x14ac:dyDescent="0.2">
      <c r="A67" s="32" t="s">
        <v>19</v>
      </c>
      <c r="B67" s="69" t="s">
        <v>20</v>
      </c>
      <c r="C67" s="69"/>
      <c r="D67" s="14">
        <f>D36</f>
        <v>452.18</v>
      </c>
    </row>
    <row r="68" spans="1:5" x14ac:dyDescent="0.2">
      <c r="A68" s="32" t="s">
        <v>24</v>
      </c>
      <c r="B68" s="69" t="s">
        <v>25</v>
      </c>
      <c r="C68" s="69"/>
      <c r="D68" s="14">
        <f>D50</f>
        <v>1022.3599999999999</v>
      </c>
    </row>
    <row r="69" spans="1:5" x14ac:dyDescent="0.2">
      <c r="A69" s="32" t="s">
        <v>39</v>
      </c>
      <c r="B69" s="69" t="s">
        <v>40</v>
      </c>
      <c r="C69" s="69"/>
      <c r="D69" s="14">
        <f>D61</f>
        <v>576.91520000000014</v>
      </c>
    </row>
    <row r="70" spans="1:5" x14ac:dyDescent="0.2">
      <c r="A70" s="70" t="s">
        <v>16</v>
      </c>
      <c r="B70" s="70"/>
      <c r="C70" s="70"/>
      <c r="D70" s="19">
        <f>SUM(D67:D69)</f>
        <v>2051.4552000000003</v>
      </c>
    </row>
    <row r="71" spans="1:5" x14ac:dyDescent="0.2">
      <c r="A71" s="4"/>
      <c r="E71" s="18"/>
    </row>
    <row r="73" spans="1:5" x14ac:dyDescent="0.2">
      <c r="A73" s="73" t="s">
        <v>45</v>
      </c>
      <c r="B73" s="73"/>
      <c r="C73" s="73"/>
      <c r="D73" s="73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2" t="s">
        <v>46</v>
      </c>
      <c r="C75" s="72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TRUNC(((1/12)*5%),4)</f>
        <v>4.1000000000000003E-3</v>
      </c>
      <c r="D76" s="13">
        <f>TRUNC($D$26*C76,2)</f>
        <v>9.5299999999999994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0.76</v>
      </c>
    </row>
    <row r="78" spans="1:5" x14ac:dyDescent="0.2">
      <c r="A78" s="32" t="s">
        <v>8</v>
      </c>
      <c r="B78" s="10" t="s">
        <v>98</v>
      </c>
      <c r="C78" s="9">
        <f>TRUNC(8%*5%*40%,4)</f>
        <v>1.6000000000000001E-3</v>
      </c>
      <c r="D78" s="13">
        <f>TRUNC($D$26*C78,2)</f>
        <v>3.72</v>
      </c>
    </row>
    <row r="79" spans="1:5" x14ac:dyDescent="0.2">
      <c r="A79" s="32" t="s">
        <v>10</v>
      </c>
      <c r="B79" s="10" t="s">
        <v>49</v>
      </c>
      <c r="C79" s="9">
        <f>TRUNC(((7/30)/12)*95%,4)</f>
        <v>1.84E-2</v>
      </c>
      <c r="D79" s="13">
        <f>TRUNC($D$26*C79,2)</f>
        <v>42.79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15.74</v>
      </c>
    </row>
    <row r="81" spans="1:4" x14ac:dyDescent="0.2">
      <c r="A81" s="32" t="s">
        <v>32</v>
      </c>
      <c r="B81" s="10" t="s">
        <v>99</v>
      </c>
      <c r="C81" s="9">
        <f>TRUNC(8%*95%*40%,4)</f>
        <v>3.04E-2</v>
      </c>
      <c r="D81" s="13">
        <f t="shared" ref="D81" si="1">TRUNC($D$26*C81,2)</f>
        <v>70.709999999999994</v>
      </c>
    </row>
    <row r="82" spans="1:4" x14ac:dyDescent="0.2">
      <c r="A82" s="78" t="s">
        <v>16</v>
      </c>
      <c r="B82" s="79"/>
      <c r="C82" s="80"/>
      <c r="D82" s="19">
        <f>SUM(D76:D81)</f>
        <v>143.25</v>
      </c>
    </row>
    <row r="85" spans="1:4" x14ac:dyDescent="0.2">
      <c r="A85" s="73" t="s">
        <v>50</v>
      </c>
      <c r="B85" s="73"/>
      <c r="C85" s="73"/>
      <c r="D85" s="73"/>
    </row>
    <row r="88" spans="1:4" x14ac:dyDescent="0.2">
      <c r="A88" s="71" t="s">
        <v>77</v>
      </c>
      <c r="B88" s="71"/>
      <c r="C88" s="71"/>
      <c r="D88" s="71"/>
    </row>
    <row r="89" spans="1:4" x14ac:dyDescent="0.2">
      <c r="A89" s="3"/>
    </row>
    <row r="90" spans="1:4" x14ac:dyDescent="0.2">
      <c r="A90" s="30" t="s">
        <v>51</v>
      </c>
      <c r="B90" s="72" t="s">
        <v>78</v>
      </c>
      <c r="C90" s="72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</f>
        <v>9.1999999999999998E-3</v>
      </c>
      <c r="D91" s="13">
        <f>TRUNC(($D$26+$D$70+$D$82)*C91,2)</f>
        <v>41.59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24.86</v>
      </c>
    </row>
    <row r="93" spans="1:4" x14ac:dyDescent="0.2">
      <c r="A93" s="32" t="s">
        <v>8</v>
      </c>
      <c r="B93" s="29" t="s">
        <v>81</v>
      </c>
      <c r="C93" s="9">
        <f>TRUNC(((5/30)/12)*2%,4)</f>
        <v>2.0000000000000001E-4</v>
      </c>
      <c r="D93" s="13">
        <f t="shared" si="2"/>
        <v>0.9</v>
      </c>
    </row>
    <row r="94" spans="1:4" x14ac:dyDescent="0.2">
      <c r="A94" s="32" t="s">
        <v>10</v>
      </c>
      <c r="B94" s="29" t="s">
        <v>82</v>
      </c>
      <c r="C94" s="9">
        <f>TRUNC(((15/30)/12)*8%,4)</f>
        <v>3.3E-3</v>
      </c>
      <c r="D94" s="13">
        <f t="shared" si="2"/>
        <v>14.91</v>
      </c>
    </row>
    <row r="95" spans="1:4" x14ac:dyDescent="0.2">
      <c r="A95" s="32" t="s">
        <v>12</v>
      </c>
      <c r="B95" s="29" t="s">
        <v>83</v>
      </c>
      <c r="C95" s="9">
        <f>((1+1/3)/12)*3%*(4/12)</f>
        <v>1.1111111111111109E-3</v>
      </c>
      <c r="D95" s="13">
        <f t="shared" si="2"/>
        <v>5.0199999999999996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70" t="s">
        <v>37</v>
      </c>
      <c r="B97" s="70"/>
      <c r="C97" s="70"/>
      <c r="D97" s="19">
        <f>SUM(D91:D96)</f>
        <v>87.28</v>
      </c>
      <c r="E97" s="17"/>
      <c r="F97" s="17"/>
    </row>
    <row r="100" spans="1:6" x14ac:dyDescent="0.2">
      <c r="A100" s="71" t="s">
        <v>85</v>
      </c>
      <c r="B100" s="71"/>
      <c r="C100" s="71"/>
      <c r="D100" s="71"/>
    </row>
    <row r="101" spans="1:6" x14ac:dyDescent="0.2">
      <c r="A101" s="3"/>
    </row>
    <row r="102" spans="1:6" x14ac:dyDescent="0.2">
      <c r="A102" s="30" t="s">
        <v>52</v>
      </c>
      <c r="B102" s="72" t="s">
        <v>86</v>
      </c>
      <c r="C102" s="72"/>
      <c r="D102" s="30" t="s">
        <v>3</v>
      </c>
    </row>
    <row r="103" spans="1:6" x14ac:dyDescent="0.2">
      <c r="A103" s="32" t="s">
        <v>4</v>
      </c>
      <c r="B103" s="81" t="s">
        <v>87</v>
      </c>
      <c r="C103" s="82"/>
      <c r="D103" s="13">
        <f>((D26+D70+D82)/220)*22*0</f>
        <v>0</v>
      </c>
    </row>
    <row r="104" spans="1:6" x14ac:dyDescent="0.2">
      <c r="A104" s="70" t="s">
        <v>16</v>
      </c>
      <c r="B104" s="70"/>
      <c r="C104" s="70"/>
      <c r="D104" s="19">
        <f>SUM(D103)</f>
        <v>0</v>
      </c>
    </row>
    <row r="107" spans="1:6" x14ac:dyDescent="0.2">
      <c r="A107" s="71" t="s">
        <v>53</v>
      </c>
      <c r="B107" s="71"/>
      <c r="C107" s="71"/>
      <c r="D107" s="71"/>
    </row>
    <row r="108" spans="1:6" x14ac:dyDescent="0.2">
      <c r="A108" s="3"/>
    </row>
    <row r="109" spans="1:6" x14ac:dyDescent="0.2">
      <c r="A109" s="30">
        <v>4</v>
      </c>
      <c r="B109" s="70" t="s">
        <v>54</v>
      </c>
      <c r="C109" s="70"/>
      <c r="D109" s="30" t="s">
        <v>3</v>
      </c>
    </row>
    <row r="110" spans="1:6" x14ac:dyDescent="0.2">
      <c r="A110" s="32" t="s">
        <v>51</v>
      </c>
      <c r="B110" s="69" t="s">
        <v>78</v>
      </c>
      <c r="C110" s="69"/>
      <c r="D110" s="14">
        <f>D97</f>
        <v>87.28</v>
      </c>
    </row>
    <row r="111" spans="1:6" x14ac:dyDescent="0.2">
      <c r="A111" s="32" t="s">
        <v>52</v>
      </c>
      <c r="B111" s="69" t="s">
        <v>86</v>
      </c>
      <c r="C111" s="69"/>
      <c r="D111" s="14">
        <f>D104</f>
        <v>0</v>
      </c>
    </row>
    <row r="112" spans="1:6" x14ac:dyDescent="0.2">
      <c r="A112" s="70" t="s">
        <v>16</v>
      </c>
      <c r="B112" s="70"/>
      <c r="C112" s="70"/>
      <c r="D112" s="19">
        <f>SUM(D110:D111)</f>
        <v>87.28</v>
      </c>
    </row>
    <row r="115" spans="1:4" x14ac:dyDescent="0.2">
      <c r="A115" s="73" t="s">
        <v>55</v>
      </c>
      <c r="B115" s="73"/>
      <c r="C115" s="73"/>
      <c r="D115" s="73"/>
    </row>
    <row r="117" spans="1:4" x14ac:dyDescent="0.2">
      <c r="A117" s="30">
        <v>5</v>
      </c>
      <c r="B117" s="83" t="s">
        <v>56</v>
      </c>
      <c r="C117" s="83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v>9.24</v>
      </c>
    </row>
    <row r="119" spans="1:4" x14ac:dyDescent="0.2">
      <c r="A119" s="32" t="s">
        <v>6</v>
      </c>
      <c r="B119" s="29" t="s">
        <v>58</v>
      </c>
      <c r="C119" s="29"/>
      <c r="D119" s="13">
        <v>4.93</v>
      </c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70" t="s">
        <v>37</v>
      </c>
      <c r="B122" s="70"/>
      <c r="C122" s="70"/>
      <c r="D122" s="20">
        <f>SUM(D118:D121)</f>
        <v>14.17</v>
      </c>
    </row>
    <row r="125" spans="1:4" x14ac:dyDescent="0.2">
      <c r="A125" s="73" t="s">
        <v>60</v>
      </c>
      <c r="B125" s="73"/>
      <c r="C125" s="73"/>
      <c r="D125" s="73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0.02</v>
      </c>
      <c r="D128" s="14">
        <f>D148*C128</f>
        <v>92.444704000000002</v>
      </c>
    </row>
    <row r="129" spans="1:4" x14ac:dyDescent="0.2">
      <c r="A129" s="32" t="s">
        <v>6</v>
      </c>
      <c r="B129" s="29" t="s">
        <v>63</v>
      </c>
      <c r="C129" s="9">
        <v>0.03</v>
      </c>
      <c r="D129" s="13">
        <f>(D148+D128)*C129</f>
        <v>141.44039712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459.82967273878489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34.553674999999998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159.4785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265.79750000000001</v>
      </c>
    </row>
    <row r="137" spans="1:4" ht="13.5" x14ac:dyDescent="0.2">
      <c r="A137" s="78" t="s">
        <v>37</v>
      </c>
      <c r="B137" s="79"/>
      <c r="C137" s="21">
        <f>(1+C129)*(1+C128)/(1-C130)-1</f>
        <v>0.15008210180623971</v>
      </c>
      <c r="D137" s="19">
        <f>SUM(D128:D130)</f>
        <v>693.71477385878484</v>
      </c>
    </row>
    <row r="140" spans="1:4" x14ac:dyDescent="0.2">
      <c r="A140" s="73" t="s">
        <v>68</v>
      </c>
      <c r="B140" s="73"/>
      <c r="C140" s="73"/>
      <c r="D140" s="73"/>
    </row>
    <row r="142" spans="1:4" x14ac:dyDescent="0.2">
      <c r="A142" s="30"/>
      <c r="B142" s="70" t="s">
        <v>69</v>
      </c>
      <c r="C142" s="70"/>
      <c r="D142" s="30" t="s">
        <v>3</v>
      </c>
    </row>
    <row r="143" spans="1:4" x14ac:dyDescent="0.2">
      <c r="A143" s="30" t="s">
        <v>4</v>
      </c>
      <c r="B143" s="69" t="s">
        <v>1</v>
      </c>
      <c r="C143" s="69"/>
      <c r="D143" s="22">
        <f>D26</f>
        <v>2326.08</v>
      </c>
    </row>
    <row r="144" spans="1:4" x14ac:dyDescent="0.2">
      <c r="A144" s="30" t="s">
        <v>6</v>
      </c>
      <c r="B144" s="69" t="s">
        <v>17</v>
      </c>
      <c r="C144" s="69"/>
      <c r="D144" s="22">
        <f>D70</f>
        <v>2051.4552000000003</v>
      </c>
    </row>
    <row r="145" spans="1:4" x14ac:dyDescent="0.2">
      <c r="A145" s="30" t="s">
        <v>8</v>
      </c>
      <c r="B145" s="69" t="s">
        <v>45</v>
      </c>
      <c r="C145" s="69"/>
      <c r="D145" s="22">
        <f>D82</f>
        <v>143.25</v>
      </c>
    </row>
    <row r="146" spans="1:4" x14ac:dyDescent="0.2">
      <c r="A146" s="30" t="s">
        <v>10</v>
      </c>
      <c r="B146" s="69" t="s">
        <v>50</v>
      </c>
      <c r="C146" s="69"/>
      <c r="D146" s="22">
        <f>D112</f>
        <v>87.28</v>
      </c>
    </row>
    <row r="147" spans="1:4" x14ac:dyDescent="0.2">
      <c r="A147" s="30" t="s">
        <v>12</v>
      </c>
      <c r="B147" s="69" t="s">
        <v>55</v>
      </c>
      <c r="C147" s="69"/>
      <c r="D147" s="22">
        <f>D122</f>
        <v>14.17</v>
      </c>
    </row>
    <row r="148" spans="1:4" x14ac:dyDescent="0.2">
      <c r="A148" s="70" t="s">
        <v>94</v>
      </c>
      <c r="B148" s="70"/>
      <c r="C148" s="70"/>
      <c r="D148" s="23">
        <f>SUM(D143:D147)</f>
        <v>4622.2352000000001</v>
      </c>
    </row>
    <row r="149" spans="1:4" x14ac:dyDescent="0.2">
      <c r="A149" s="30" t="s">
        <v>32</v>
      </c>
      <c r="B149" s="69" t="s">
        <v>70</v>
      </c>
      <c r="C149" s="69"/>
      <c r="D149" s="24">
        <f>D137</f>
        <v>693.71477385878484</v>
      </c>
    </row>
    <row r="150" spans="1:4" x14ac:dyDescent="0.2">
      <c r="A150" s="70" t="s">
        <v>71</v>
      </c>
      <c r="B150" s="70"/>
      <c r="C150" s="70"/>
      <c r="D150" s="23">
        <f>ROUND(SUM(D148:D149),2)</f>
        <v>5315.95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46:C146"/>
    <mergeCell ref="B147:C147"/>
    <mergeCell ref="A148:C148"/>
    <mergeCell ref="B149:C149"/>
    <mergeCell ref="A150:C150"/>
  </mergeCells>
  <pageMargins left="0.51181102362204722" right="0.51181102362204722" top="1.102362204724409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zoomScaleNormal="115" zoomScaleSheetLayoutView="100" workbookViewId="0">
      <selection activeCell="C12" sqref="C12:D14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4" t="s">
        <v>0</v>
      </c>
      <c r="B1" s="74"/>
      <c r="C1" s="74"/>
      <c r="D1" s="74"/>
    </row>
    <row r="2" spans="1:4" ht="15.75" x14ac:dyDescent="0.25">
      <c r="A2" s="26"/>
      <c r="B2" s="26"/>
      <c r="C2" s="26"/>
      <c r="D2" s="26"/>
    </row>
    <row r="3" spans="1:4" x14ac:dyDescent="0.2">
      <c r="A3" s="76" t="s">
        <v>88</v>
      </c>
      <c r="B3" s="76"/>
      <c r="C3" s="76"/>
      <c r="D3" s="76"/>
    </row>
    <row r="4" spans="1:4" x14ac:dyDescent="0.2">
      <c r="A4" s="2"/>
      <c r="B4" s="2"/>
      <c r="C4" s="2"/>
      <c r="D4" s="2"/>
    </row>
    <row r="5" spans="1:4" ht="38.25" x14ac:dyDescent="0.2">
      <c r="A5" s="77" t="s">
        <v>89</v>
      </c>
      <c r="B5" s="77"/>
      <c r="C5" s="32" t="s">
        <v>90</v>
      </c>
      <c r="D5" s="27" t="s">
        <v>91</v>
      </c>
    </row>
    <row r="6" spans="1:4" x14ac:dyDescent="0.2">
      <c r="A6" s="84" t="s">
        <v>154</v>
      </c>
      <c r="B6" s="84"/>
      <c r="C6" s="33" t="s">
        <v>100</v>
      </c>
      <c r="D6" s="33">
        <v>1</v>
      </c>
    </row>
    <row r="8" spans="1:4" x14ac:dyDescent="0.2">
      <c r="A8" s="76" t="s">
        <v>72</v>
      </c>
      <c r="B8" s="76"/>
      <c r="C8" s="76"/>
      <c r="D8" s="76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85" t="s">
        <v>154</v>
      </c>
      <c r="D10" s="86"/>
    </row>
    <row r="11" spans="1:4" x14ac:dyDescent="0.2">
      <c r="A11" s="5">
        <v>2</v>
      </c>
      <c r="B11" s="5" t="s">
        <v>92</v>
      </c>
      <c r="C11" s="85" t="s">
        <v>153</v>
      </c>
      <c r="D11" s="86"/>
    </row>
    <row r="12" spans="1:4" x14ac:dyDescent="0.2">
      <c r="A12" s="5">
        <v>3</v>
      </c>
      <c r="B12" s="5" t="s">
        <v>74</v>
      </c>
      <c r="C12" s="87"/>
      <c r="D12" s="88"/>
    </row>
    <row r="13" spans="1:4" x14ac:dyDescent="0.2">
      <c r="A13" s="5">
        <v>4</v>
      </c>
      <c r="B13" s="5" t="s">
        <v>75</v>
      </c>
      <c r="C13" s="85"/>
      <c r="D13" s="86"/>
    </row>
    <row r="14" spans="1:4" x14ac:dyDescent="0.2">
      <c r="A14" s="5">
        <v>5</v>
      </c>
      <c r="B14" s="5" t="s">
        <v>76</v>
      </c>
      <c r="C14" s="89"/>
      <c r="D14" s="86"/>
    </row>
    <row r="16" spans="1:4" x14ac:dyDescent="0.2">
      <c r="A16" s="76" t="s">
        <v>1</v>
      </c>
      <c r="B16" s="76"/>
      <c r="C16" s="76"/>
      <c r="D16" s="76"/>
    </row>
    <row r="18" spans="1:4" x14ac:dyDescent="0.2">
      <c r="A18" s="30">
        <v>1</v>
      </c>
      <c r="B18" s="70" t="s">
        <v>2</v>
      </c>
      <c r="C18" s="70"/>
      <c r="D18" s="30" t="s">
        <v>3</v>
      </c>
    </row>
    <row r="19" spans="1:4" x14ac:dyDescent="0.2">
      <c r="A19" s="32" t="s">
        <v>4</v>
      </c>
      <c r="B19" s="69" t="s">
        <v>5</v>
      </c>
      <c r="C19" s="69"/>
      <c r="D19" s="13">
        <v>2286.25</v>
      </c>
    </row>
    <row r="20" spans="1:4" x14ac:dyDescent="0.2">
      <c r="A20" s="32" t="s">
        <v>6</v>
      </c>
      <c r="B20" s="69" t="s">
        <v>7</v>
      </c>
      <c r="C20" s="69"/>
      <c r="D20" s="13"/>
    </row>
    <row r="21" spans="1:4" x14ac:dyDescent="0.2">
      <c r="A21" s="32" t="s">
        <v>8</v>
      </c>
      <c r="B21" s="69" t="s">
        <v>9</v>
      </c>
      <c r="C21" s="69"/>
      <c r="D21" s="13"/>
    </row>
    <row r="22" spans="1:4" x14ac:dyDescent="0.2">
      <c r="A22" s="32" t="s">
        <v>10</v>
      </c>
      <c r="B22" s="69" t="s">
        <v>11</v>
      </c>
      <c r="C22" s="69"/>
      <c r="D22" s="13"/>
    </row>
    <row r="23" spans="1:4" x14ac:dyDescent="0.2">
      <c r="A23" s="32" t="s">
        <v>12</v>
      </c>
      <c r="B23" s="69" t="s">
        <v>13</v>
      </c>
      <c r="C23" s="69"/>
      <c r="D23" s="13"/>
    </row>
    <row r="24" spans="1:4" x14ac:dyDescent="0.2">
      <c r="A24" s="32"/>
      <c r="B24" s="69"/>
      <c r="C24" s="69"/>
      <c r="D24" s="13"/>
    </row>
    <row r="25" spans="1:4" x14ac:dyDescent="0.2">
      <c r="A25" s="32" t="s">
        <v>14</v>
      </c>
      <c r="B25" s="69" t="s">
        <v>15</v>
      </c>
      <c r="C25" s="69"/>
      <c r="D25" s="13"/>
    </row>
    <row r="26" spans="1:4" x14ac:dyDescent="0.2">
      <c r="A26" s="70" t="s">
        <v>16</v>
      </c>
      <c r="B26" s="70"/>
      <c r="C26" s="70"/>
      <c r="D26" s="20">
        <f>SUM(D19:D25)</f>
        <v>2286.25</v>
      </c>
    </row>
    <row r="29" spans="1:4" x14ac:dyDescent="0.2">
      <c r="A29" s="73" t="s">
        <v>17</v>
      </c>
      <c r="B29" s="73"/>
      <c r="C29" s="73"/>
      <c r="D29" s="73"/>
    </row>
    <row r="30" spans="1:4" x14ac:dyDescent="0.2">
      <c r="A30" s="3"/>
    </row>
    <row r="31" spans="1:4" x14ac:dyDescent="0.2">
      <c r="A31" s="71" t="s">
        <v>18</v>
      </c>
      <c r="B31" s="71"/>
      <c r="C31" s="71"/>
      <c r="D31" s="71"/>
    </row>
    <row r="33" spans="1:4" x14ac:dyDescent="0.2">
      <c r="A33" s="30" t="s">
        <v>19</v>
      </c>
      <c r="B33" s="70" t="s">
        <v>20</v>
      </c>
      <c r="C33" s="70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190.44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254</v>
      </c>
    </row>
    <row r="36" spans="1:4" x14ac:dyDescent="0.2">
      <c r="A36" s="70" t="s">
        <v>16</v>
      </c>
      <c r="B36" s="70"/>
      <c r="C36" s="28">
        <f>SUM(C34:C35)</f>
        <v>0.19440000000000002</v>
      </c>
      <c r="D36" s="19">
        <f>SUM(D34:D35)</f>
        <v>444.44</v>
      </c>
    </row>
    <row r="39" spans="1:4" x14ac:dyDescent="0.2">
      <c r="A39" s="75" t="s">
        <v>23</v>
      </c>
      <c r="B39" s="75"/>
      <c r="C39" s="75"/>
      <c r="D39" s="75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546.13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68.260000000000005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81.92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40.96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27.3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16.38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5.46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218.45</v>
      </c>
    </row>
    <row r="50" spans="1:4" x14ac:dyDescent="0.2">
      <c r="A50" s="70" t="s">
        <v>37</v>
      </c>
      <c r="B50" s="70"/>
      <c r="C50" s="15">
        <f>SUM(C42:C49)</f>
        <v>0.36800000000000005</v>
      </c>
      <c r="D50" s="19">
        <f>SUM(D42:D49)</f>
        <v>1004.8599999999999</v>
      </c>
    </row>
    <row r="53" spans="1:4" x14ac:dyDescent="0.2">
      <c r="A53" s="71" t="s">
        <v>38</v>
      </c>
      <c r="B53" s="71"/>
      <c r="C53" s="71"/>
      <c r="D53" s="71"/>
    </row>
    <row r="55" spans="1:4" x14ac:dyDescent="0.2">
      <c r="A55" s="30" t="s">
        <v>39</v>
      </c>
      <c r="B55" s="72" t="s">
        <v>40</v>
      </c>
      <c r="C55" s="72"/>
      <c r="D55" s="30" t="s">
        <v>3</v>
      </c>
    </row>
    <row r="56" spans="1:4" x14ac:dyDescent="0.2">
      <c r="A56" s="32" t="s">
        <v>4</v>
      </c>
      <c r="B56" s="69" t="s">
        <v>41</v>
      </c>
      <c r="C56" s="69"/>
      <c r="D56" s="13">
        <f>IF((22*2*5.2)-(D19*0.06)&gt;0,(22*2*5.2)-(D19*0.06),0)</f>
        <v>91.625000000000028</v>
      </c>
    </row>
    <row r="57" spans="1:4" x14ac:dyDescent="0.2">
      <c r="A57" s="32" t="s">
        <v>6</v>
      </c>
      <c r="B57" s="69" t="s">
        <v>42</v>
      </c>
      <c r="C57" s="69"/>
      <c r="D57" s="13">
        <f>17*0.8*22</f>
        <v>299.20000000000005</v>
      </c>
    </row>
    <row r="58" spans="1:4" x14ac:dyDescent="0.2">
      <c r="A58" s="32" t="s">
        <v>8</v>
      </c>
      <c r="B58" s="69" t="s">
        <v>101</v>
      </c>
      <c r="C58" s="69"/>
      <c r="D58" s="13">
        <v>170</v>
      </c>
    </row>
    <row r="59" spans="1:4" x14ac:dyDescent="0.2">
      <c r="A59" s="32" t="s">
        <v>10</v>
      </c>
      <c r="B59" s="69" t="s">
        <v>102</v>
      </c>
      <c r="C59" s="69"/>
      <c r="D59" s="13">
        <v>14</v>
      </c>
    </row>
    <row r="60" spans="1:4" x14ac:dyDescent="0.2">
      <c r="A60" s="32" t="s">
        <v>10</v>
      </c>
      <c r="B60" s="69" t="s">
        <v>103</v>
      </c>
      <c r="C60" s="69"/>
      <c r="D60" s="13">
        <v>4.4800000000000004</v>
      </c>
    </row>
    <row r="61" spans="1:4" x14ac:dyDescent="0.2">
      <c r="A61" s="70" t="s">
        <v>16</v>
      </c>
      <c r="B61" s="70"/>
      <c r="C61" s="70"/>
      <c r="D61" s="19">
        <f>SUM(D56:D60)</f>
        <v>579.30500000000006</v>
      </c>
    </row>
    <row r="64" spans="1:4" x14ac:dyDescent="0.2">
      <c r="A64" s="71" t="s">
        <v>43</v>
      </c>
      <c r="B64" s="71"/>
      <c r="C64" s="71"/>
      <c r="D64" s="71"/>
    </row>
    <row r="66" spans="1:5" x14ac:dyDescent="0.2">
      <c r="A66" s="30">
        <v>2</v>
      </c>
      <c r="B66" s="72" t="s">
        <v>44</v>
      </c>
      <c r="C66" s="72"/>
      <c r="D66" s="30" t="s">
        <v>3</v>
      </c>
    </row>
    <row r="67" spans="1:5" x14ac:dyDescent="0.2">
      <c r="A67" s="32" t="s">
        <v>19</v>
      </c>
      <c r="B67" s="69" t="s">
        <v>20</v>
      </c>
      <c r="C67" s="69"/>
      <c r="D67" s="14">
        <f>D36</f>
        <v>444.44</v>
      </c>
    </row>
    <row r="68" spans="1:5" x14ac:dyDescent="0.2">
      <c r="A68" s="32" t="s">
        <v>24</v>
      </c>
      <c r="B68" s="69" t="s">
        <v>25</v>
      </c>
      <c r="C68" s="69"/>
      <c r="D68" s="14">
        <f>D50</f>
        <v>1004.8599999999999</v>
      </c>
    </row>
    <row r="69" spans="1:5" x14ac:dyDescent="0.2">
      <c r="A69" s="32" t="s">
        <v>39</v>
      </c>
      <c r="B69" s="69" t="s">
        <v>40</v>
      </c>
      <c r="C69" s="69"/>
      <c r="D69" s="14">
        <f>D61</f>
        <v>579.30500000000006</v>
      </c>
    </row>
    <row r="70" spans="1:5" x14ac:dyDescent="0.2">
      <c r="A70" s="70" t="s">
        <v>16</v>
      </c>
      <c r="B70" s="70"/>
      <c r="C70" s="70"/>
      <c r="D70" s="19">
        <f>SUM(D67:D69)</f>
        <v>2028.605</v>
      </c>
    </row>
    <row r="71" spans="1:5" x14ac:dyDescent="0.2">
      <c r="A71" s="4"/>
      <c r="E71" s="18"/>
    </row>
    <row r="73" spans="1:5" x14ac:dyDescent="0.2">
      <c r="A73" s="73" t="s">
        <v>45</v>
      </c>
      <c r="B73" s="73"/>
      <c r="C73" s="73"/>
      <c r="D73" s="73"/>
      <c r="E73" s="17"/>
    </row>
    <row r="74" spans="1:5" ht="12.75" customHeight="1" x14ac:dyDescent="0.2">
      <c r="E74" s="18"/>
    </row>
    <row r="75" spans="1:5" x14ac:dyDescent="0.2">
      <c r="A75" s="30">
        <v>3</v>
      </c>
      <c r="B75" s="72" t="s">
        <v>46</v>
      </c>
      <c r="C75" s="72"/>
      <c r="D75" s="30" t="s">
        <v>3</v>
      </c>
    </row>
    <row r="76" spans="1:5" x14ac:dyDescent="0.2">
      <c r="A76" s="32" t="s">
        <v>4</v>
      </c>
      <c r="B76" s="10" t="s">
        <v>47</v>
      </c>
      <c r="C76" s="9">
        <f>TRUNC(((1/12)*5%),4)</f>
        <v>4.1000000000000003E-3</v>
      </c>
      <c r="D76" s="13">
        <f>TRUNC($D$26*C76,2)</f>
        <v>9.3699999999999992</v>
      </c>
    </row>
    <row r="77" spans="1:5" x14ac:dyDescent="0.2">
      <c r="A77" s="32" t="s">
        <v>6</v>
      </c>
      <c r="B77" s="10" t="s">
        <v>48</v>
      </c>
      <c r="C77" s="9">
        <v>0.08</v>
      </c>
      <c r="D77" s="13">
        <f>TRUNC(D76*C77,2)</f>
        <v>0.74</v>
      </c>
    </row>
    <row r="78" spans="1:5" x14ac:dyDescent="0.2">
      <c r="A78" s="32" t="s">
        <v>8</v>
      </c>
      <c r="B78" s="10" t="s">
        <v>98</v>
      </c>
      <c r="C78" s="9">
        <f>TRUNC(8%*5%*40%,4)</f>
        <v>1.6000000000000001E-3</v>
      </c>
      <c r="D78" s="13">
        <f>TRUNC($D$26*C78,2)</f>
        <v>3.65</v>
      </c>
    </row>
    <row r="79" spans="1:5" x14ac:dyDescent="0.2">
      <c r="A79" s="32" t="s">
        <v>10</v>
      </c>
      <c r="B79" s="10" t="s">
        <v>49</v>
      </c>
      <c r="C79" s="9">
        <f>TRUNC(((7/30)/12)*95%,4)</f>
        <v>1.84E-2</v>
      </c>
      <c r="D79" s="13">
        <f>TRUNC($D$26*C79,2)</f>
        <v>42.06</v>
      </c>
    </row>
    <row r="80" spans="1:5" ht="25.5" x14ac:dyDescent="0.2">
      <c r="A80" s="32" t="s">
        <v>12</v>
      </c>
      <c r="B80" s="10" t="s">
        <v>93</v>
      </c>
      <c r="C80" s="9">
        <f>C50</f>
        <v>0.36800000000000005</v>
      </c>
      <c r="D80" s="13">
        <f>TRUNC(D79*C80,2)</f>
        <v>15.47</v>
      </c>
    </row>
    <row r="81" spans="1:4" x14ac:dyDescent="0.2">
      <c r="A81" s="32" t="s">
        <v>32</v>
      </c>
      <c r="B81" s="10" t="s">
        <v>99</v>
      </c>
      <c r="C81" s="9">
        <f>TRUNC(8%*95%*40%,4)</f>
        <v>3.04E-2</v>
      </c>
      <c r="D81" s="13">
        <f t="shared" ref="D81" si="1">TRUNC($D$26*C81,2)</f>
        <v>69.5</v>
      </c>
    </row>
    <row r="82" spans="1:4" x14ac:dyDescent="0.2">
      <c r="A82" s="78" t="s">
        <v>16</v>
      </c>
      <c r="B82" s="79"/>
      <c r="C82" s="80"/>
      <c r="D82" s="19">
        <f>SUM(D76:D81)</f>
        <v>140.79000000000002</v>
      </c>
    </row>
    <row r="85" spans="1:4" x14ac:dyDescent="0.2">
      <c r="A85" s="73" t="s">
        <v>50</v>
      </c>
      <c r="B85" s="73"/>
      <c r="C85" s="73"/>
      <c r="D85" s="73"/>
    </row>
    <row r="88" spans="1:4" x14ac:dyDescent="0.2">
      <c r="A88" s="71" t="s">
        <v>77</v>
      </c>
      <c r="B88" s="71"/>
      <c r="C88" s="71"/>
      <c r="D88" s="71"/>
    </row>
    <row r="89" spans="1:4" x14ac:dyDescent="0.2">
      <c r="A89" s="3"/>
    </row>
    <row r="90" spans="1:4" x14ac:dyDescent="0.2">
      <c r="A90" s="30" t="s">
        <v>51</v>
      </c>
      <c r="B90" s="72" t="s">
        <v>78</v>
      </c>
      <c r="C90" s="72"/>
      <c r="D90" s="30" t="s">
        <v>3</v>
      </c>
    </row>
    <row r="91" spans="1:4" x14ac:dyDescent="0.2">
      <c r="A91" s="32" t="s">
        <v>4</v>
      </c>
      <c r="B91" s="29" t="s">
        <v>79</v>
      </c>
      <c r="C91" s="9">
        <f>TRUNC(((1+1/3)/12)/12,4)</f>
        <v>9.1999999999999998E-3</v>
      </c>
      <c r="D91" s="13">
        <f>TRUNC(($D$26+$D$70+$D$82)*C91,2)</f>
        <v>40.99</v>
      </c>
    </row>
    <row r="92" spans="1:4" x14ac:dyDescent="0.2">
      <c r="A92" s="32" t="s">
        <v>6</v>
      </c>
      <c r="B92" s="29" t="s">
        <v>80</v>
      </c>
      <c r="C92" s="9">
        <f>TRUNC(((2/30)/12),4)</f>
        <v>5.4999999999999997E-3</v>
      </c>
      <c r="D92" s="13">
        <f t="shared" ref="D92:D96" si="2">TRUNC(($D$26+$D$70+$D$82)*C92,2)</f>
        <v>24.5</v>
      </c>
    </row>
    <row r="93" spans="1:4" x14ac:dyDescent="0.2">
      <c r="A93" s="32" t="s">
        <v>8</v>
      </c>
      <c r="B93" s="29" t="s">
        <v>81</v>
      </c>
      <c r="C93" s="9">
        <f>TRUNC(((5/30)/12)*2%,4)</f>
        <v>2.0000000000000001E-4</v>
      </c>
      <c r="D93" s="13">
        <f t="shared" si="2"/>
        <v>0.89</v>
      </c>
    </row>
    <row r="94" spans="1:4" x14ac:dyDescent="0.2">
      <c r="A94" s="32" t="s">
        <v>10</v>
      </c>
      <c r="B94" s="29" t="s">
        <v>82</v>
      </c>
      <c r="C94" s="9">
        <f>TRUNC(((15/30)/12)*8%,4)</f>
        <v>3.3E-3</v>
      </c>
      <c r="D94" s="13">
        <f t="shared" si="2"/>
        <v>14.7</v>
      </c>
    </row>
    <row r="95" spans="1:4" x14ac:dyDescent="0.2">
      <c r="A95" s="32" t="s">
        <v>12</v>
      </c>
      <c r="B95" s="29" t="s">
        <v>83</v>
      </c>
      <c r="C95" s="9">
        <f>((1+1/3)/12)*3%*(4/12)</f>
        <v>1.1111111111111109E-3</v>
      </c>
      <c r="D95" s="13">
        <f t="shared" si="2"/>
        <v>4.95</v>
      </c>
    </row>
    <row r="96" spans="1:4" x14ac:dyDescent="0.2">
      <c r="A96" s="32" t="s">
        <v>32</v>
      </c>
      <c r="B96" s="29" t="s">
        <v>84</v>
      </c>
      <c r="C96" s="9"/>
      <c r="D96" s="13">
        <f t="shared" si="2"/>
        <v>0</v>
      </c>
    </row>
    <row r="97" spans="1:6" x14ac:dyDescent="0.2">
      <c r="A97" s="70" t="s">
        <v>37</v>
      </c>
      <c r="B97" s="70"/>
      <c r="C97" s="70"/>
      <c r="D97" s="19">
        <f>SUM(D91:D96)</f>
        <v>86.030000000000015</v>
      </c>
      <c r="E97" s="17"/>
      <c r="F97" s="17"/>
    </row>
    <row r="100" spans="1:6" x14ac:dyDescent="0.2">
      <c r="A100" s="71" t="s">
        <v>85</v>
      </c>
      <c r="B100" s="71"/>
      <c r="C100" s="71"/>
      <c r="D100" s="71"/>
    </row>
    <row r="101" spans="1:6" x14ac:dyDescent="0.2">
      <c r="A101" s="3"/>
    </row>
    <row r="102" spans="1:6" x14ac:dyDescent="0.2">
      <c r="A102" s="30" t="s">
        <v>52</v>
      </c>
      <c r="B102" s="72" t="s">
        <v>86</v>
      </c>
      <c r="C102" s="72"/>
      <c r="D102" s="30" t="s">
        <v>3</v>
      </c>
    </row>
    <row r="103" spans="1:6" x14ac:dyDescent="0.2">
      <c r="A103" s="32" t="s">
        <v>4</v>
      </c>
      <c r="B103" s="81" t="s">
        <v>87</v>
      </c>
      <c r="C103" s="82"/>
      <c r="D103" s="13">
        <f>((D26+D70+D82)/220)*22*0</f>
        <v>0</v>
      </c>
    </row>
    <row r="104" spans="1:6" x14ac:dyDescent="0.2">
      <c r="A104" s="70" t="s">
        <v>16</v>
      </c>
      <c r="B104" s="70"/>
      <c r="C104" s="70"/>
      <c r="D104" s="19">
        <f>SUM(D103)</f>
        <v>0</v>
      </c>
    </row>
    <row r="107" spans="1:6" x14ac:dyDescent="0.2">
      <c r="A107" s="71" t="s">
        <v>53</v>
      </c>
      <c r="B107" s="71"/>
      <c r="C107" s="71"/>
      <c r="D107" s="71"/>
    </row>
    <row r="108" spans="1:6" x14ac:dyDescent="0.2">
      <c r="A108" s="3"/>
    </row>
    <row r="109" spans="1:6" x14ac:dyDescent="0.2">
      <c r="A109" s="30">
        <v>4</v>
      </c>
      <c r="B109" s="70" t="s">
        <v>54</v>
      </c>
      <c r="C109" s="70"/>
      <c r="D109" s="30" t="s">
        <v>3</v>
      </c>
    </row>
    <row r="110" spans="1:6" x14ac:dyDescent="0.2">
      <c r="A110" s="32" t="s">
        <v>51</v>
      </c>
      <c r="B110" s="69" t="s">
        <v>78</v>
      </c>
      <c r="C110" s="69"/>
      <c r="D110" s="14">
        <f>D97</f>
        <v>86.030000000000015</v>
      </c>
    </row>
    <row r="111" spans="1:6" x14ac:dyDescent="0.2">
      <c r="A111" s="32" t="s">
        <v>52</v>
      </c>
      <c r="B111" s="69" t="s">
        <v>86</v>
      </c>
      <c r="C111" s="69"/>
      <c r="D111" s="14">
        <f>D104</f>
        <v>0</v>
      </c>
    </row>
    <row r="112" spans="1:6" x14ac:dyDescent="0.2">
      <c r="A112" s="70" t="s">
        <v>16</v>
      </c>
      <c r="B112" s="70"/>
      <c r="C112" s="70"/>
      <c r="D112" s="19">
        <f>SUM(D110:D111)</f>
        <v>86.030000000000015</v>
      </c>
    </row>
    <row r="115" spans="1:4" x14ac:dyDescent="0.2">
      <c r="A115" s="73" t="s">
        <v>55</v>
      </c>
      <c r="B115" s="73"/>
      <c r="C115" s="73"/>
      <c r="D115" s="73"/>
    </row>
    <row r="117" spans="1:4" x14ac:dyDescent="0.2">
      <c r="A117" s="30">
        <v>5</v>
      </c>
      <c r="B117" s="83" t="s">
        <v>56</v>
      </c>
      <c r="C117" s="83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v>9.24</v>
      </c>
    </row>
    <row r="119" spans="1:4" x14ac:dyDescent="0.2">
      <c r="A119" s="32" t="s">
        <v>6</v>
      </c>
      <c r="B119" s="29" t="s">
        <v>58</v>
      </c>
      <c r="C119" s="29"/>
      <c r="D119" s="13">
        <v>4.93</v>
      </c>
    </row>
    <row r="120" spans="1:4" x14ac:dyDescent="0.2">
      <c r="A120" s="32" t="s">
        <v>8</v>
      </c>
      <c r="B120" s="29" t="s">
        <v>59</v>
      </c>
      <c r="C120" s="29"/>
      <c r="D120" s="13">
        <v>13.6</v>
      </c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70" t="s">
        <v>37</v>
      </c>
      <c r="B122" s="70"/>
      <c r="C122" s="70"/>
      <c r="D122" s="20">
        <f>SUM(D118:D121)</f>
        <v>27.77</v>
      </c>
    </row>
    <row r="125" spans="1:4" x14ac:dyDescent="0.2">
      <c r="A125" s="73" t="s">
        <v>60</v>
      </c>
      <c r="B125" s="73"/>
      <c r="C125" s="73"/>
      <c r="D125" s="73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0.02</v>
      </c>
      <c r="D128" s="14">
        <f>D148*C128</f>
        <v>91.388899999999992</v>
      </c>
    </row>
    <row r="129" spans="1:4" x14ac:dyDescent="0.2">
      <c r="A129" s="32" t="s">
        <v>6</v>
      </c>
      <c r="B129" s="29" t="s">
        <v>63</v>
      </c>
      <c r="C129" s="9">
        <v>0.03</v>
      </c>
      <c r="D129" s="13">
        <f>(D148+D128)*C129</f>
        <v>139.82501699999997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454.57799268801307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34.159059999999997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157.65719999999999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262.762</v>
      </c>
    </row>
    <row r="137" spans="1:4" ht="13.5" x14ac:dyDescent="0.2">
      <c r="A137" s="78" t="s">
        <v>37</v>
      </c>
      <c r="B137" s="79"/>
      <c r="C137" s="21">
        <f>(1+C129)*(1+C128)/(1-C130)-1</f>
        <v>0.15008210180623971</v>
      </c>
      <c r="D137" s="19">
        <f>SUM(D128:D130)</f>
        <v>685.79190968801299</v>
      </c>
    </row>
    <row r="140" spans="1:4" x14ac:dyDescent="0.2">
      <c r="A140" s="73" t="s">
        <v>68</v>
      </c>
      <c r="B140" s="73"/>
      <c r="C140" s="73"/>
      <c r="D140" s="73"/>
    </row>
    <row r="142" spans="1:4" x14ac:dyDescent="0.2">
      <c r="A142" s="30"/>
      <c r="B142" s="70" t="s">
        <v>69</v>
      </c>
      <c r="C142" s="70"/>
      <c r="D142" s="30" t="s">
        <v>3</v>
      </c>
    </row>
    <row r="143" spans="1:4" x14ac:dyDescent="0.2">
      <c r="A143" s="30" t="s">
        <v>4</v>
      </c>
      <c r="B143" s="69" t="s">
        <v>1</v>
      </c>
      <c r="C143" s="69"/>
      <c r="D143" s="22">
        <f>D26</f>
        <v>2286.25</v>
      </c>
    </row>
    <row r="144" spans="1:4" x14ac:dyDescent="0.2">
      <c r="A144" s="30" t="s">
        <v>6</v>
      </c>
      <c r="B144" s="69" t="s">
        <v>17</v>
      </c>
      <c r="C144" s="69"/>
      <c r="D144" s="22">
        <f>D70</f>
        <v>2028.605</v>
      </c>
    </row>
    <row r="145" spans="1:4" x14ac:dyDescent="0.2">
      <c r="A145" s="30" t="s">
        <v>8</v>
      </c>
      <c r="B145" s="69" t="s">
        <v>45</v>
      </c>
      <c r="C145" s="69"/>
      <c r="D145" s="22">
        <f>D82</f>
        <v>140.79000000000002</v>
      </c>
    </row>
    <row r="146" spans="1:4" x14ac:dyDescent="0.2">
      <c r="A146" s="30" t="s">
        <v>10</v>
      </c>
      <c r="B146" s="69" t="s">
        <v>50</v>
      </c>
      <c r="C146" s="69"/>
      <c r="D146" s="22">
        <f>D112</f>
        <v>86.030000000000015</v>
      </c>
    </row>
    <row r="147" spans="1:4" x14ac:dyDescent="0.2">
      <c r="A147" s="30" t="s">
        <v>12</v>
      </c>
      <c r="B147" s="69" t="s">
        <v>55</v>
      </c>
      <c r="C147" s="69"/>
      <c r="D147" s="22">
        <f>D122</f>
        <v>27.77</v>
      </c>
    </row>
    <row r="148" spans="1:4" x14ac:dyDescent="0.2">
      <c r="A148" s="70" t="s">
        <v>94</v>
      </c>
      <c r="B148" s="70"/>
      <c r="C148" s="70"/>
      <c r="D148" s="23">
        <f>SUM(D143:D147)</f>
        <v>4569.4449999999997</v>
      </c>
    </row>
    <row r="149" spans="1:4" x14ac:dyDescent="0.2">
      <c r="A149" s="30" t="s">
        <v>32</v>
      </c>
      <c r="B149" s="69" t="s">
        <v>70</v>
      </c>
      <c r="C149" s="69"/>
      <c r="D149" s="24">
        <f>D137</f>
        <v>685.79190968801299</v>
      </c>
    </row>
    <row r="150" spans="1:4" x14ac:dyDescent="0.2">
      <c r="A150" s="70" t="s">
        <v>71</v>
      </c>
      <c r="B150" s="70"/>
      <c r="C150" s="70"/>
      <c r="D150" s="23">
        <f>ROUND(SUM(D148:D149),2)</f>
        <v>5255.24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46:C146"/>
    <mergeCell ref="B147:C147"/>
    <mergeCell ref="A148:C148"/>
    <mergeCell ref="B149:C149"/>
    <mergeCell ref="A150:C150"/>
  </mergeCells>
  <pageMargins left="0.51181102362204722" right="0.51181102362204722" top="1.102362204724409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view="pageBreakPreview" zoomScaleNormal="115" zoomScaleSheetLayoutView="100" workbookViewId="0">
      <selection activeCell="C12" sqref="C12:D14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4" t="s">
        <v>0</v>
      </c>
      <c r="B1" s="74"/>
      <c r="C1" s="74"/>
      <c r="D1" s="74"/>
    </row>
    <row r="2" spans="1:4" ht="15.75" x14ac:dyDescent="0.25">
      <c r="A2" s="26"/>
      <c r="B2" s="26"/>
      <c r="C2" s="26"/>
      <c r="D2" s="26"/>
    </row>
    <row r="3" spans="1:4" x14ac:dyDescent="0.2">
      <c r="A3" s="76" t="s">
        <v>88</v>
      </c>
      <c r="B3" s="76"/>
      <c r="C3" s="76"/>
      <c r="D3" s="76"/>
    </row>
    <row r="4" spans="1:4" x14ac:dyDescent="0.2">
      <c r="A4" s="2"/>
      <c r="B4" s="2"/>
      <c r="C4" s="2"/>
      <c r="D4" s="2"/>
    </row>
    <row r="5" spans="1:4" ht="38.25" x14ac:dyDescent="0.2">
      <c r="A5" s="77" t="s">
        <v>89</v>
      </c>
      <c r="B5" s="77"/>
      <c r="C5" s="32" t="s">
        <v>90</v>
      </c>
      <c r="D5" s="27" t="s">
        <v>91</v>
      </c>
    </row>
    <row r="6" spans="1:4" x14ac:dyDescent="0.2">
      <c r="A6" s="84" t="s">
        <v>155</v>
      </c>
      <c r="B6" s="84"/>
      <c r="C6" s="33" t="s">
        <v>100</v>
      </c>
      <c r="D6" s="33">
        <v>1</v>
      </c>
    </row>
    <row r="8" spans="1:4" x14ac:dyDescent="0.2">
      <c r="A8" s="76" t="s">
        <v>72</v>
      </c>
      <c r="B8" s="76"/>
      <c r="C8" s="76"/>
      <c r="D8" s="76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73</v>
      </c>
      <c r="C10" s="85" t="s">
        <v>155</v>
      </c>
      <c r="D10" s="86"/>
    </row>
    <row r="11" spans="1:4" x14ac:dyDescent="0.2">
      <c r="A11" s="5">
        <v>2</v>
      </c>
      <c r="B11" s="5" t="s">
        <v>92</v>
      </c>
      <c r="C11" s="85" t="s">
        <v>156</v>
      </c>
      <c r="D11" s="86"/>
    </row>
    <row r="12" spans="1:4" x14ac:dyDescent="0.2">
      <c r="A12" s="5">
        <v>3</v>
      </c>
      <c r="B12" s="5" t="s">
        <v>74</v>
      </c>
      <c r="C12" s="87"/>
      <c r="D12" s="88"/>
    </row>
    <row r="13" spans="1:4" x14ac:dyDescent="0.2">
      <c r="A13" s="5">
        <v>4</v>
      </c>
      <c r="B13" s="5" t="s">
        <v>75</v>
      </c>
      <c r="C13" s="85"/>
      <c r="D13" s="86"/>
    </row>
    <row r="14" spans="1:4" x14ac:dyDescent="0.2">
      <c r="A14" s="5">
        <v>5</v>
      </c>
      <c r="B14" s="5" t="s">
        <v>76</v>
      </c>
      <c r="C14" s="89"/>
      <c r="D14" s="86"/>
    </row>
    <row r="16" spans="1:4" x14ac:dyDescent="0.2">
      <c r="A16" s="76" t="s">
        <v>1</v>
      </c>
      <c r="B16" s="76"/>
      <c r="C16" s="76"/>
      <c r="D16" s="76"/>
    </row>
    <row r="18" spans="1:4" x14ac:dyDescent="0.2">
      <c r="A18" s="30">
        <v>1</v>
      </c>
      <c r="B18" s="70" t="s">
        <v>2</v>
      </c>
      <c r="C18" s="70"/>
      <c r="D18" s="30" t="s">
        <v>3</v>
      </c>
    </row>
    <row r="19" spans="1:4" x14ac:dyDescent="0.2">
      <c r="A19" s="32" t="s">
        <v>4</v>
      </c>
      <c r="B19" s="69" t="s">
        <v>5</v>
      </c>
      <c r="C19" s="69"/>
      <c r="D19" s="13">
        <v>3468.2</v>
      </c>
    </row>
    <row r="20" spans="1:4" x14ac:dyDescent="0.2">
      <c r="A20" s="32" t="s">
        <v>6</v>
      </c>
      <c r="B20" s="69" t="s">
        <v>7</v>
      </c>
      <c r="C20" s="69"/>
      <c r="D20" s="13"/>
    </row>
    <row r="21" spans="1:4" x14ac:dyDescent="0.2">
      <c r="A21" s="32" t="s">
        <v>8</v>
      </c>
      <c r="B21" s="69" t="s">
        <v>9</v>
      </c>
      <c r="C21" s="69"/>
      <c r="D21" s="13"/>
    </row>
    <row r="22" spans="1:4" x14ac:dyDescent="0.2">
      <c r="A22" s="32" t="s">
        <v>10</v>
      </c>
      <c r="B22" s="69" t="s">
        <v>11</v>
      </c>
      <c r="C22" s="69"/>
      <c r="D22" s="13"/>
    </row>
    <row r="23" spans="1:4" x14ac:dyDescent="0.2">
      <c r="A23" s="32" t="s">
        <v>12</v>
      </c>
      <c r="B23" s="69" t="s">
        <v>13</v>
      </c>
      <c r="C23" s="69"/>
      <c r="D23" s="13"/>
    </row>
    <row r="24" spans="1:4" x14ac:dyDescent="0.2">
      <c r="A24" s="32"/>
      <c r="B24" s="69"/>
      <c r="C24" s="69"/>
      <c r="D24" s="13"/>
    </row>
    <row r="25" spans="1:4" x14ac:dyDescent="0.2">
      <c r="A25" s="32" t="s">
        <v>14</v>
      </c>
      <c r="B25" s="69" t="s">
        <v>15</v>
      </c>
      <c r="C25" s="69"/>
      <c r="D25" s="13"/>
    </row>
    <row r="26" spans="1:4" x14ac:dyDescent="0.2">
      <c r="A26" s="70" t="s">
        <v>16</v>
      </c>
      <c r="B26" s="70"/>
      <c r="C26" s="70"/>
      <c r="D26" s="20">
        <f>SUM(D19:D25)</f>
        <v>3468.2</v>
      </c>
    </row>
    <row r="29" spans="1:4" x14ac:dyDescent="0.2">
      <c r="A29" s="73" t="s">
        <v>17</v>
      </c>
      <c r="B29" s="73"/>
      <c r="C29" s="73"/>
      <c r="D29" s="73"/>
    </row>
    <row r="30" spans="1:4" x14ac:dyDescent="0.2">
      <c r="A30" s="3"/>
    </row>
    <row r="31" spans="1:4" x14ac:dyDescent="0.2">
      <c r="A31" s="71" t="s">
        <v>18</v>
      </c>
      <c r="B31" s="71"/>
      <c r="C31" s="71"/>
      <c r="D31" s="71"/>
    </row>
    <row r="33" spans="1:4" x14ac:dyDescent="0.2">
      <c r="A33" s="30" t="s">
        <v>19</v>
      </c>
      <c r="B33" s="70" t="s">
        <v>20</v>
      </c>
      <c r="C33" s="70"/>
      <c r="D33" s="30" t="s">
        <v>3</v>
      </c>
    </row>
    <row r="34" spans="1:4" x14ac:dyDescent="0.2">
      <c r="A34" s="32" t="s">
        <v>4</v>
      </c>
      <c r="B34" s="29" t="s">
        <v>21</v>
      </c>
      <c r="C34" s="12">
        <f>TRUNC(1/12,4)</f>
        <v>8.3299999999999999E-2</v>
      </c>
      <c r="D34" s="13">
        <f>TRUNC($D$26*C34,2)</f>
        <v>288.89999999999998</v>
      </c>
    </row>
    <row r="35" spans="1:4" x14ac:dyDescent="0.2">
      <c r="A35" s="32" t="s">
        <v>6</v>
      </c>
      <c r="B35" s="29" t="s">
        <v>22</v>
      </c>
      <c r="C35" s="12">
        <f>TRUNC(((1+1/3)/12),4)</f>
        <v>0.1111</v>
      </c>
      <c r="D35" s="13">
        <f>TRUNC($D$26*C35,2)</f>
        <v>385.31</v>
      </c>
    </row>
    <row r="36" spans="1:4" x14ac:dyDescent="0.2">
      <c r="A36" s="70" t="s">
        <v>16</v>
      </c>
      <c r="B36" s="70"/>
      <c r="C36" s="28">
        <f>SUM(C34:C35)</f>
        <v>0.19440000000000002</v>
      </c>
      <c r="D36" s="19">
        <f>SUM(D34:D35)</f>
        <v>674.21</v>
      </c>
    </row>
    <row r="39" spans="1:4" x14ac:dyDescent="0.2">
      <c r="A39" s="75" t="s">
        <v>23</v>
      </c>
      <c r="B39" s="75"/>
      <c r="C39" s="75"/>
      <c r="D39" s="75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32" t="s">
        <v>4</v>
      </c>
      <c r="B42" s="29" t="s">
        <v>27</v>
      </c>
      <c r="C42" s="9">
        <v>0.2</v>
      </c>
      <c r="D42" s="13">
        <f>TRUNC(($D$26+$D$36)*C42,2)</f>
        <v>828.48</v>
      </c>
    </row>
    <row r="43" spans="1:4" x14ac:dyDescent="0.2">
      <c r="A43" s="32" t="s">
        <v>6</v>
      </c>
      <c r="B43" s="29" t="s">
        <v>28</v>
      </c>
      <c r="C43" s="9">
        <v>2.5000000000000001E-2</v>
      </c>
      <c r="D43" s="13">
        <f t="shared" ref="D43:D49" si="0">TRUNC(($D$26+$D$36)*C43,2)</f>
        <v>103.56</v>
      </c>
    </row>
    <row r="44" spans="1:4" x14ac:dyDescent="0.2">
      <c r="A44" s="32" t="s">
        <v>8</v>
      </c>
      <c r="B44" s="29" t="s">
        <v>29</v>
      </c>
      <c r="C44" s="16">
        <v>0.03</v>
      </c>
      <c r="D44" s="13">
        <f t="shared" si="0"/>
        <v>124.27</v>
      </c>
    </row>
    <row r="45" spans="1:4" x14ac:dyDescent="0.2">
      <c r="A45" s="32" t="s">
        <v>10</v>
      </c>
      <c r="B45" s="29" t="s">
        <v>30</v>
      </c>
      <c r="C45" s="9">
        <v>1.4999999999999999E-2</v>
      </c>
      <c r="D45" s="13">
        <f t="shared" si="0"/>
        <v>62.13</v>
      </c>
    </row>
    <row r="46" spans="1:4" x14ac:dyDescent="0.2">
      <c r="A46" s="32" t="s">
        <v>12</v>
      </c>
      <c r="B46" s="29" t="s">
        <v>31</v>
      </c>
      <c r="C46" s="9">
        <v>0.01</v>
      </c>
      <c r="D46" s="13">
        <f t="shared" si="0"/>
        <v>41.42</v>
      </c>
    </row>
    <row r="47" spans="1:4" x14ac:dyDescent="0.2">
      <c r="A47" s="32" t="s">
        <v>32</v>
      </c>
      <c r="B47" s="29" t="s">
        <v>33</v>
      </c>
      <c r="C47" s="9">
        <v>6.0000000000000001E-3</v>
      </c>
      <c r="D47" s="13">
        <f t="shared" si="0"/>
        <v>24.85</v>
      </c>
    </row>
    <row r="48" spans="1:4" x14ac:dyDescent="0.2">
      <c r="A48" s="32" t="s">
        <v>14</v>
      </c>
      <c r="B48" s="29" t="s">
        <v>34</v>
      </c>
      <c r="C48" s="9">
        <v>2E-3</v>
      </c>
      <c r="D48" s="13">
        <f t="shared" si="0"/>
        <v>8.2799999999999994</v>
      </c>
    </row>
    <row r="49" spans="1:4" x14ac:dyDescent="0.2">
      <c r="A49" s="32" t="s">
        <v>35</v>
      </c>
      <c r="B49" s="29" t="s">
        <v>36</v>
      </c>
      <c r="C49" s="9">
        <v>0.08</v>
      </c>
      <c r="D49" s="13">
        <f t="shared" si="0"/>
        <v>331.39</v>
      </c>
    </row>
    <row r="50" spans="1:4" x14ac:dyDescent="0.2">
      <c r="A50" s="70" t="s">
        <v>37</v>
      </c>
      <c r="B50" s="70"/>
      <c r="C50" s="15">
        <f>SUM(C42:C49)</f>
        <v>0.36800000000000005</v>
      </c>
      <c r="D50" s="19">
        <f>SUM(D42:D49)</f>
        <v>1524.38</v>
      </c>
    </row>
    <row r="53" spans="1:4" x14ac:dyDescent="0.2">
      <c r="A53" s="71" t="s">
        <v>38</v>
      </c>
      <c r="B53" s="71"/>
      <c r="C53" s="71"/>
      <c r="D53" s="71"/>
    </row>
    <row r="55" spans="1:4" x14ac:dyDescent="0.2">
      <c r="A55" s="30" t="s">
        <v>39</v>
      </c>
      <c r="B55" s="72" t="s">
        <v>40</v>
      </c>
      <c r="C55" s="72"/>
      <c r="D55" s="30" t="s">
        <v>3</v>
      </c>
    </row>
    <row r="56" spans="1:4" x14ac:dyDescent="0.2">
      <c r="A56" s="32" t="s">
        <v>4</v>
      </c>
      <c r="B56" s="69" t="s">
        <v>41</v>
      </c>
      <c r="C56" s="69"/>
      <c r="D56" s="13">
        <f>IF((22*2*5.2)-(D19*0.06)&gt;0,(22*2*5.2)-(D19*0.06),0)</f>
        <v>20.708000000000027</v>
      </c>
    </row>
    <row r="57" spans="1:4" x14ac:dyDescent="0.2">
      <c r="A57" s="32" t="s">
        <v>6</v>
      </c>
      <c r="B57" s="69" t="s">
        <v>42</v>
      </c>
      <c r="C57" s="69"/>
      <c r="D57" s="13">
        <f>17*0.8*22</f>
        <v>299.20000000000005</v>
      </c>
    </row>
    <row r="58" spans="1:4" x14ac:dyDescent="0.2">
      <c r="A58" s="32" t="s">
        <v>8</v>
      </c>
      <c r="B58" s="69" t="s">
        <v>101</v>
      </c>
      <c r="C58" s="69"/>
      <c r="D58" s="13">
        <v>170</v>
      </c>
    </row>
    <row r="59" spans="1:4" x14ac:dyDescent="0.2">
      <c r="A59" s="32" t="s">
        <v>10</v>
      </c>
      <c r="B59" s="69" t="s">
        <v>102</v>
      </c>
      <c r="C59" s="69"/>
      <c r="D59" s="13">
        <v>14</v>
      </c>
    </row>
    <row r="60" spans="1:4" x14ac:dyDescent="0.2">
      <c r="A60" s="32" t="s">
        <v>10</v>
      </c>
      <c r="B60" s="69" t="s">
        <v>103</v>
      </c>
      <c r="C60" s="69"/>
      <c r="D60" s="13">
        <v>4.4800000000000004</v>
      </c>
    </row>
    <row r="61" spans="1:4" x14ac:dyDescent="0.2">
      <c r="A61" s="70" t="s">
        <v>16</v>
      </c>
      <c r="B61" s="70"/>
      <c r="C61" s="70"/>
      <c r="D61" s="19">
        <f>SUM(D56:D60)</f>
        <v>508.38800000000009</v>
      </c>
    </row>
    <row r="64" spans="1:4" x14ac:dyDescent="0.2">
      <c r="A64" s="71" t="s">
        <v>43</v>
      </c>
      <c r="B64" s="71"/>
      <c r="C64" s="71"/>
      <c r="D64" s="71"/>
    </row>
    <row r="66" spans="1:5" x14ac:dyDescent="0.2">
      <c r="A66" s="30">
        <v>2</v>
      </c>
      <c r="B66" s="72" t="s">
        <v>44</v>
      </c>
      <c r="C66" s="72"/>
      <c r="D66" s="30" t="s">
        <v>3</v>
      </c>
    </row>
    <row r="67" spans="1:5" x14ac:dyDescent="0.2">
      <c r="A67" s="32" t="s">
        <v>19</v>
      </c>
      <c r="B67" s="69" t="s">
        <v>20</v>
      </c>
      <c r="C67" s="69"/>
      <c r="D67" s="14">
        <f>D36</f>
        <v>674.21</v>
      </c>
    </row>
    <row r="68" spans="1:5" x14ac:dyDescent="0.2">
      <c r="A68" s="32" t="s">
        <v>24</v>
      </c>
      <c r="B68" s="69" t="s">
        <v>25</v>
      </c>
      <c r="C68" s="69"/>
      <c r="D68" s="14">
        <f>D50</f>
        <v>1524.38</v>
      </c>
    </row>
    <row r="69" spans="1:5" x14ac:dyDescent="0.2">
      <c r="A69" s="32" t="s">
        <v>39</v>
      </c>
      <c r="B69" s="69" t="s">
        <v>40</v>
      </c>
      <c r="C69" s="69"/>
      <c r="D69" s="14">
        <f>D61</f>
        <v>508.38800000000009</v>
      </c>
    </row>
    <row r="70" spans="1:5" x14ac:dyDescent="0.2">
      <c r="A70" s="70" t="s">
        <v>16</v>
      </c>
      <c r="B70" s="70"/>
      <c r="C70" s="70"/>
      <c r="D70" s="19">
        <f>SUM(D67:D69)</f>
        <v>2706.9780000000001</v>
      </c>
    </row>
    <row r="71" spans="1:5" x14ac:dyDescent="0.2">
      <c r="A71" s="4"/>
      <c r="E71" s="18"/>
    </row>
    <row r="73" spans="1:5" x14ac:dyDescent="0.2">
      <c r="A73" s="73" t="s">
        <v>45</v>
      </c>
      <c r="B73" s="73"/>
      <c r="C73" s="73"/>
      <c r="D73" s="73"/>
      <c r="E73" s="17"/>
    </row>
    <row r="74" spans="1:5" ht="12.75" customHeight="1" x14ac:dyDescent="0.2">
      <c r="E74" s="18"/>
    </row>
    <row r="75" spans="1:5" x14ac:dyDescent="0.2">
      <c r="A75" s="43">
        <v>3</v>
      </c>
      <c r="B75" s="72" t="s">
        <v>46</v>
      </c>
      <c r="C75" s="72"/>
      <c r="D75" s="43" t="s">
        <v>3</v>
      </c>
    </row>
    <row r="76" spans="1:5" x14ac:dyDescent="0.2">
      <c r="A76" s="44" t="s">
        <v>4</v>
      </c>
      <c r="B76" s="10" t="s">
        <v>47</v>
      </c>
      <c r="C76" s="9">
        <f>TRUNC(((1/12)*5%),4)</f>
        <v>4.1000000000000003E-3</v>
      </c>
      <c r="D76" s="13">
        <f>TRUNC($D$26*C76,2)</f>
        <v>14.21</v>
      </c>
    </row>
    <row r="77" spans="1:5" x14ac:dyDescent="0.2">
      <c r="A77" s="44" t="s">
        <v>6</v>
      </c>
      <c r="B77" s="10" t="s">
        <v>48</v>
      </c>
      <c r="C77" s="9">
        <v>0.08</v>
      </c>
      <c r="D77" s="13">
        <f>TRUNC(D76*C77,2)</f>
        <v>1.1299999999999999</v>
      </c>
    </row>
    <row r="78" spans="1:5" x14ac:dyDescent="0.2">
      <c r="A78" s="44" t="s">
        <v>8</v>
      </c>
      <c r="B78" s="10" t="s">
        <v>98</v>
      </c>
      <c r="C78" s="9">
        <f>TRUNC(8%*5%*40%,4)</f>
        <v>1.6000000000000001E-3</v>
      </c>
      <c r="D78" s="13">
        <f>TRUNC($D$26*C78,2)</f>
        <v>5.54</v>
      </c>
    </row>
    <row r="79" spans="1:5" x14ac:dyDescent="0.2">
      <c r="A79" s="44" t="s">
        <v>10</v>
      </c>
      <c r="B79" s="10" t="s">
        <v>49</v>
      </c>
      <c r="C79" s="9">
        <f>TRUNC(((7/30)/12)*95%,4)</f>
        <v>1.84E-2</v>
      </c>
      <c r="D79" s="13">
        <f>TRUNC($D$26*C79,2)</f>
        <v>63.81</v>
      </c>
    </row>
    <row r="80" spans="1:5" ht="25.5" x14ac:dyDescent="0.2">
      <c r="A80" s="44" t="s">
        <v>12</v>
      </c>
      <c r="B80" s="10" t="s">
        <v>93</v>
      </c>
      <c r="C80" s="9">
        <f>C50</f>
        <v>0.36800000000000005</v>
      </c>
      <c r="D80" s="13">
        <f>TRUNC(D79*C80,2)</f>
        <v>23.48</v>
      </c>
    </row>
    <row r="81" spans="1:4" x14ac:dyDescent="0.2">
      <c r="A81" s="44" t="s">
        <v>32</v>
      </c>
      <c r="B81" s="10" t="s">
        <v>99</v>
      </c>
      <c r="C81" s="9">
        <f>TRUNC(8%*95%*40%,4)</f>
        <v>3.04E-2</v>
      </c>
      <c r="D81" s="13">
        <f t="shared" ref="D81" si="1">TRUNC($D$26*C81,2)</f>
        <v>105.43</v>
      </c>
    </row>
    <row r="82" spans="1:4" x14ac:dyDescent="0.2">
      <c r="A82" s="78" t="s">
        <v>16</v>
      </c>
      <c r="B82" s="79"/>
      <c r="C82" s="80"/>
      <c r="D82" s="19">
        <f>SUM(D76:D81)</f>
        <v>213.60000000000002</v>
      </c>
    </row>
    <row r="85" spans="1:4" x14ac:dyDescent="0.2">
      <c r="A85" s="73" t="s">
        <v>50</v>
      </c>
      <c r="B85" s="73"/>
      <c r="C85" s="73"/>
      <c r="D85" s="73"/>
    </row>
    <row r="88" spans="1:4" x14ac:dyDescent="0.2">
      <c r="A88" s="71" t="s">
        <v>77</v>
      </c>
      <c r="B88" s="71"/>
      <c r="C88" s="71"/>
      <c r="D88" s="71"/>
    </row>
    <row r="89" spans="1:4" x14ac:dyDescent="0.2">
      <c r="A89" s="3"/>
    </row>
    <row r="90" spans="1:4" x14ac:dyDescent="0.2">
      <c r="A90" s="43" t="s">
        <v>51</v>
      </c>
      <c r="B90" s="72" t="s">
        <v>78</v>
      </c>
      <c r="C90" s="72"/>
      <c r="D90" s="43" t="s">
        <v>3</v>
      </c>
    </row>
    <row r="91" spans="1:4" x14ac:dyDescent="0.2">
      <c r="A91" s="44" t="s">
        <v>4</v>
      </c>
      <c r="B91" s="42" t="s">
        <v>79</v>
      </c>
      <c r="C91" s="9">
        <f>TRUNC(((1+1/3)/12)/12,4)</f>
        <v>9.1999999999999998E-3</v>
      </c>
      <c r="D91" s="13">
        <f>TRUNC(($D$26+$D$70+$D$82)*C91,2)</f>
        <v>58.77</v>
      </c>
    </row>
    <row r="92" spans="1:4" x14ac:dyDescent="0.2">
      <c r="A92" s="44" t="s">
        <v>6</v>
      </c>
      <c r="B92" s="42" t="s">
        <v>80</v>
      </c>
      <c r="C92" s="9">
        <f>TRUNC(((2/30)/12),4)</f>
        <v>5.4999999999999997E-3</v>
      </c>
      <c r="D92" s="13">
        <f t="shared" ref="D92:D96" si="2">TRUNC(($D$26+$D$70+$D$82)*C92,2)</f>
        <v>35.130000000000003</v>
      </c>
    </row>
    <row r="93" spans="1:4" x14ac:dyDescent="0.2">
      <c r="A93" s="44" t="s">
        <v>8</v>
      </c>
      <c r="B93" s="42" t="s">
        <v>81</v>
      </c>
      <c r="C93" s="9">
        <f>TRUNC(((5/30)/12)*2%,4)</f>
        <v>2.0000000000000001E-4</v>
      </c>
      <c r="D93" s="13">
        <f t="shared" si="2"/>
        <v>1.27</v>
      </c>
    </row>
    <row r="94" spans="1:4" x14ac:dyDescent="0.2">
      <c r="A94" s="44" t="s">
        <v>10</v>
      </c>
      <c r="B94" s="42" t="s">
        <v>82</v>
      </c>
      <c r="C94" s="9">
        <f>TRUNC(((15/30)/12)*8%,4)</f>
        <v>3.3E-3</v>
      </c>
      <c r="D94" s="13">
        <f t="shared" si="2"/>
        <v>21.08</v>
      </c>
    </row>
    <row r="95" spans="1:4" x14ac:dyDescent="0.2">
      <c r="A95" s="44" t="s">
        <v>12</v>
      </c>
      <c r="B95" s="42" t="s">
        <v>83</v>
      </c>
      <c r="C95" s="9">
        <f>((1+1/3)/12)*3%*(4/12)</f>
        <v>1.1111111111111109E-3</v>
      </c>
      <c r="D95" s="13">
        <f t="shared" si="2"/>
        <v>7.09</v>
      </c>
    </row>
    <row r="96" spans="1:4" x14ac:dyDescent="0.2">
      <c r="A96" s="44" t="s">
        <v>32</v>
      </c>
      <c r="B96" s="42" t="s">
        <v>84</v>
      </c>
      <c r="C96" s="9"/>
      <c r="D96" s="13">
        <f t="shared" si="2"/>
        <v>0</v>
      </c>
    </row>
    <row r="97" spans="1:6" x14ac:dyDescent="0.2">
      <c r="A97" s="70" t="s">
        <v>37</v>
      </c>
      <c r="B97" s="70"/>
      <c r="C97" s="70"/>
      <c r="D97" s="19">
        <f>SUM(D91:D96)</f>
        <v>123.34</v>
      </c>
      <c r="E97" s="17"/>
      <c r="F97" s="17"/>
    </row>
    <row r="100" spans="1:6" x14ac:dyDescent="0.2">
      <c r="A100" s="71" t="s">
        <v>85</v>
      </c>
      <c r="B100" s="71"/>
      <c r="C100" s="71"/>
      <c r="D100" s="71"/>
    </row>
    <row r="101" spans="1:6" x14ac:dyDescent="0.2">
      <c r="A101" s="3"/>
    </row>
    <row r="102" spans="1:6" x14ac:dyDescent="0.2">
      <c r="A102" s="30" t="s">
        <v>52</v>
      </c>
      <c r="B102" s="72" t="s">
        <v>86</v>
      </c>
      <c r="C102" s="72"/>
      <c r="D102" s="30" t="s">
        <v>3</v>
      </c>
    </row>
    <row r="103" spans="1:6" x14ac:dyDescent="0.2">
      <c r="A103" s="32" t="s">
        <v>4</v>
      </c>
      <c r="B103" s="81" t="s">
        <v>87</v>
      </c>
      <c r="C103" s="82"/>
      <c r="D103" s="13">
        <f>((D26+D70+D82)/220)*22*0</f>
        <v>0</v>
      </c>
    </row>
    <row r="104" spans="1:6" x14ac:dyDescent="0.2">
      <c r="A104" s="70" t="s">
        <v>16</v>
      </c>
      <c r="B104" s="70"/>
      <c r="C104" s="70"/>
      <c r="D104" s="19">
        <f>SUM(D103)</f>
        <v>0</v>
      </c>
    </row>
    <row r="107" spans="1:6" x14ac:dyDescent="0.2">
      <c r="A107" s="71" t="s">
        <v>53</v>
      </c>
      <c r="B107" s="71"/>
      <c r="C107" s="71"/>
      <c r="D107" s="71"/>
    </row>
    <row r="108" spans="1:6" x14ac:dyDescent="0.2">
      <c r="A108" s="3"/>
    </row>
    <row r="109" spans="1:6" x14ac:dyDescent="0.2">
      <c r="A109" s="30">
        <v>4</v>
      </c>
      <c r="B109" s="70" t="s">
        <v>54</v>
      </c>
      <c r="C109" s="70"/>
      <c r="D109" s="30" t="s">
        <v>3</v>
      </c>
    </row>
    <row r="110" spans="1:6" x14ac:dyDescent="0.2">
      <c r="A110" s="32" t="s">
        <v>51</v>
      </c>
      <c r="B110" s="69" t="s">
        <v>78</v>
      </c>
      <c r="C110" s="69"/>
      <c r="D110" s="14">
        <f>D97</f>
        <v>123.34</v>
      </c>
    </row>
    <row r="111" spans="1:6" x14ac:dyDescent="0.2">
      <c r="A111" s="32" t="s">
        <v>52</v>
      </c>
      <c r="B111" s="69" t="s">
        <v>86</v>
      </c>
      <c r="C111" s="69"/>
      <c r="D111" s="14">
        <f>D104</f>
        <v>0</v>
      </c>
    </row>
    <row r="112" spans="1:6" x14ac:dyDescent="0.2">
      <c r="A112" s="70" t="s">
        <v>16</v>
      </c>
      <c r="B112" s="70"/>
      <c r="C112" s="70"/>
      <c r="D112" s="19">
        <f>SUM(D110:D111)</f>
        <v>123.34</v>
      </c>
    </row>
    <row r="115" spans="1:4" x14ac:dyDescent="0.2">
      <c r="A115" s="73" t="s">
        <v>55</v>
      </c>
      <c r="B115" s="73"/>
      <c r="C115" s="73"/>
      <c r="D115" s="73"/>
    </row>
    <row r="117" spans="1:4" x14ac:dyDescent="0.2">
      <c r="A117" s="30">
        <v>5</v>
      </c>
      <c r="B117" s="83" t="s">
        <v>56</v>
      </c>
      <c r="C117" s="83"/>
      <c r="D117" s="30" t="s">
        <v>3</v>
      </c>
    </row>
    <row r="118" spans="1:4" x14ac:dyDescent="0.2">
      <c r="A118" s="32" t="s">
        <v>4</v>
      </c>
      <c r="B118" s="29" t="s">
        <v>57</v>
      </c>
      <c r="C118" s="29"/>
      <c r="D118" s="13">
        <v>9.24</v>
      </c>
    </row>
    <row r="119" spans="1:4" x14ac:dyDescent="0.2">
      <c r="A119" s="32" t="s">
        <v>6</v>
      </c>
      <c r="B119" s="29" t="s">
        <v>58</v>
      </c>
      <c r="C119" s="29"/>
      <c r="D119" s="13">
        <v>4.93</v>
      </c>
    </row>
    <row r="120" spans="1:4" x14ac:dyDescent="0.2">
      <c r="A120" s="32" t="s">
        <v>8</v>
      </c>
      <c r="B120" s="29" t="s">
        <v>59</v>
      </c>
      <c r="C120" s="29"/>
      <c r="D120" s="13"/>
    </row>
    <row r="121" spans="1:4" x14ac:dyDescent="0.2">
      <c r="A121" s="32" t="s">
        <v>10</v>
      </c>
      <c r="B121" s="29" t="s">
        <v>15</v>
      </c>
      <c r="C121" s="29"/>
      <c r="D121" s="13"/>
    </row>
    <row r="122" spans="1:4" x14ac:dyDescent="0.2">
      <c r="A122" s="70" t="s">
        <v>37</v>
      </c>
      <c r="B122" s="70"/>
      <c r="C122" s="70"/>
      <c r="D122" s="20">
        <f>SUM(D118:D121)</f>
        <v>14.17</v>
      </c>
    </row>
    <row r="125" spans="1:4" x14ac:dyDescent="0.2">
      <c r="A125" s="73" t="s">
        <v>60</v>
      </c>
      <c r="B125" s="73"/>
      <c r="C125" s="73"/>
      <c r="D125" s="73"/>
    </row>
    <row r="127" spans="1:4" x14ac:dyDescent="0.2">
      <c r="A127" s="30">
        <v>6</v>
      </c>
      <c r="B127" s="31" t="s">
        <v>61</v>
      </c>
      <c r="C127" s="30" t="s">
        <v>26</v>
      </c>
      <c r="D127" s="30" t="s">
        <v>3</v>
      </c>
    </row>
    <row r="128" spans="1:4" x14ac:dyDescent="0.2">
      <c r="A128" s="32" t="s">
        <v>4</v>
      </c>
      <c r="B128" s="29" t="s">
        <v>62</v>
      </c>
      <c r="C128" s="9">
        <v>0.02</v>
      </c>
      <c r="D128" s="14">
        <f>D148*C128</f>
        <v>130.52576000000002</v>
      </c>
    </row>
    <row r="129" spans="1:4" x14ac:dyDescent="0.2">
      <c r="A129" s="32" t="s">
        <v>6</v>
      </c>
      <c r="B129" s="29" t="s">
        <v>63</v>
      </c>
      <c r="C129" s="9">
        <v>0.03</v>
      </c>
      <c r="D129" s="13">
        <f>(D148+D128)*C129</f>
        <v>199.70441280000003</v>
      </c>
    </row>
    <row r="130" spans="1:4" x14ac:dyDescent="0.2">
      <c r="A130" s="32" t="s">
        <v>8</v>
      </c>
      <c r="B130" s="29" t="s">
        <v>64</v>
      </c>
      <c r="C130" s="12">
        <f>SUM(C131:C136)</f>
        <v>8.6499999999999994E-2</v>
      </c>
      <c r="D130" s="13">
        <f>(D148+D128+D129)*C130/(1-C130)</f>
        <v>649.24884723284072</v>
      </c>
    </row>
    <row r="131" spans="1:4" x14ac:dyDescent="0.2">
      <c r="A131" s="32"/>
      <c r="B131" s="29" t="s">
        <v>65</v>
      </c>
      <c r="C131" s="9"/>
      <c r="D131" s="14">
        <f>$D$150*C131</f>
        <v>0</v>
      </c>
    </row>
    <row r="132" spans="1:4" x14ac:dyDescent="0.2">
      <c r="A132" s="32"/>
      <c r="B132" s="29" t="s">
        <v>95</v>
      </c>
      <c r="C132" s="9">
        <v>6.4999999999999997E-3</v>
      </c>
      <c r="D132" s="14">
        <f t="shared" ref="D132:D136" si="3">$D$150*C132</f>
        <v>48.787505000000003</v>
      </c>
    </row>
    <row r="133" spans="1:4" x14ac:dyDescent="0.2">
      <c r="A133" s="32"/>
      <c r="B133" s="29" t="s">
        <v>96</v>
      </c>
      <c r="C133" s="9">
        <v>0.03</v>
      </c>
      <c r="D133" s="14">
        <f t="shared" si="3"/>
        <v>225.17310000000001</v>
      </c>
    </row>
    <row r="134" spans="1:4" x14ac:dyDescent="0.2">
      <c r="A134" s="32"/>
      <c r="B134" s="29" t="s">
        <v>66</v>
      </c>
      <c r="C134" s="32"/>
      <c r="D134" s="14">
        <f t="shared" si="3"/>
        <v>0</v>
      </c>
    </row>
    <row r="135" spans="1:4" x14ac:dyDescent="0.2">
      <c r="A135" s="32"/>
      <c r="B135" s="29" t="s">
        <v>67</v>
      </c>
      <c r="C135" s="9"/>
      <c r="D135" s="14">
        <f t="shared" si="3"/>
        <v>0</v>
      </c>
    </row>
    <row r="136" spans="1:4" x14ac:dyDescent="0.2">
      <c r="A136" s="32"/>
      <c r="B136" s="29" t="s">
        <v>97</v>
      </c>
      <c r="C136" s="9">
        <v>0.05</v>
      </c>
      <c r="D136" s="14">
        <f t="shared" si="3"/>
        <v>375.28850000000006</v>
      </c>
    </row>
    <row r="137" spans="1:4" ht="13.5" x14ac:dyDescent="0.2">
      <c r="A137" s="78" t="s">
        <v>37</v>
      </c>
      <c r="B137" s="79"/>
      <c r="C137" s="21">
        <f>(1+C129)*(1+C128)/(1-C130)-1</f>
        <v>0.15008210180623971</v>
      </c>
      <c r="D137" s="19">
        <f>SUM(D128:D130)</f>
        <v>979.47902003284071</v>
      </c>
    </row>
    <row r="140" spans="1:4" x14ac:dyDescent="0.2">
      <c r="A140" s="73" t="s">
        <v>68</v>
      </c>
      <c r="B140" s="73"/>
      <c r="C140" s="73"/>
      <c r="D140" s="73"/>
    </row>
    <row r="142" spans="1:4" x14ac:dyDescent="0.2">
      <c r="A142" s="30"/>
      <c r="B142" s="70" t="s">
        <v>69</v>
      </c>
      <c r="C142" s="70"/>
      <c r="D142" s="30" t="s">
        <v>3</v>
      </c>
    </row>
    <row r="143" spans="1:4" x14ac:dyDescent="0.2">
      <c r="A143" s="30" t="s">
        <v>4</v>
      </c>
      <c r="B143" s="69" t="s">
        <v>1</v>
      </c>
      <c r="C143" s="69"/>
      <c r="D143" s="22">
        <f>D26</f>
        <v>3468.2</v>
      </c>
    </row>
    <row r="144" spans="1:4" x14ac:dyDescent="0.2">
      <c r="A144" s="30" t="s">
        <v>6</v>
      </c>
      <c r="B144" s="69" t="s">
        <v>17</v>
      </c>
      <c r="C144" s="69"/>
      <c r="D144" s="22">
        <f>D70</f>
        <v>2706.9780000000001</v>
      </c>
    </row>
    <row r="145" spans="1:4" x14ac:dyDescent="0.2">
      <c r="A145" s="30" t="s">
        <v>8</v>
      </c>
      <c r="B145" s="69" t="s">
        <v>45</v>
      </c>
      <c r="C145" s="69"/>
      <c r="D145" s="22">
        <f>D82</f>
        <v>213.60000000000002</v>
      </c>
    </row>
    <row r="146" spans="1:4" x14ac:dyDescent="0.2">
      <c r="A146" s="30" t="s">
        <v>10</v>
      </c>
      <c r="B146" s="69" t="s">
        <v>50</v>
      </c>
      <c r="C146" s="69"/>
      <c r="D146" s="22">
        <f>D112</f>
        <v>123.34</v>
      </c>
    </row>
    <row r="147" spans="1:4" x14ac:dyDescent="0.2">
      <c r="A147" s="30" t="s">
        <v>12</v>
      </c>
      <c r="B147" s="69" t="s">
        <v>55</v>
      </c>
      <c r="C147" s="69"/>
      <c r="D147" s="22">
        <f>D122</f>
        <v>14.17</v>
      </c>
    </row>
    <row r="148" spans="1:4" x14ac:dyDescent="0.2">
      <c r="A148" s="70" t="s">
        <v>94</v>
      </c>
      <c r="B148" s="70"/>
      <c r="C148" s="70"/>
      <c r="D148" s="23">
        <f>SUM(D143:D147)</f>
        <v>6526.2880000000005</v>
      </c>
    </row>
    <row r="149" spans="1:4" x14ac:dyDescent="0.2">
      <c r="A149" s="30" t="s">
        <v>32</v>
      </c>
      <c r="B149" s="69" t="s">
        <v>70</v>
      </c>
      <c r="C149" s="69"/>
      <c r="D149" s="24">
        <f>D137</f>
        <v>979.47902003284071</v>
      </c>
    </row>
    <row r="150" spans="1:4" x14ac:dyDescent="0.2">
      <c r="A150" s="70" t="s">
        <v>71</v>
      </c>
      <c r="B150" s="70"/>
      <c r="C150" s="70"/>
      <c r="D150" s="23">
        <f>ROUND(SUM(D148:D149),2)</f>
        <v>7505.77</v>
      </c>
    </row>
  </sheetData>
  <mergeCells count="71">
    <mergeCell ref="C10:D10"/>
    <mergeCell ref="A1:D1"/>
    <mergeCell ref="A3:D3"/>
    <mergeCell ref="A5:B5"/>
    <mergeCell ref="A6:B6"/>
    <mergeCell ref="A8:D8"/>
    <mergeCell ref="B24:C24"/>
    <mergeCell ref="C11:D11"/>
    <mergeCell ref="C12:D12"/>
    <mergeCell ref="C13:D13"/>
    <mergeCell ref="C14:D14"/>
    <mergeCell ref="A16:D16"/>
    <mergeCell ref="B18:C18"/>
    <mergeCell ref="B19:C19"/>
    <mergeCell ref="B20:C20"/>
    <mergeCell ref="B21:C21"/>
    <mergeCell ref="B22:C22"/>
    <mergeCell ref="B23:C23"/>
    <mergeCell ref="B57:C57"/>
    <mergeCell ref="B25:C25"/>
    <mergeCell ref="A26:C26"/>
    <mergeCell ref="A29:D29"/>
    <mergeCell ref="A31:D31"/>
    <mergeCell ref="B33:C33"/>
    <mergeCell ref="A36:B36"/>
    <mergeCell ref="A39:D39"/>
    <mergeCell ref="A50:B50"/>
    <mergeCell ref="A53:D53"/>
    <mergeCell ref="B55:C55"/>
    <mergeCell ref="B56:C56"/>
    <mergeCell ref="B75:C75"/>
    <mergeCell ref="B58:C58"/>
    <mergeCell ref="B59:C59"/>
    <mergeCell ref="B60:C60"/>
    <mergeCell ref="A61:C61"/>
    <mergeCell ref="A64:D64"/>
    <mergeCell ref="B66:C66"/>
    <mergeCell ref="B67:C67"/>
    <mergeCell ref="B68:C68"/>
    <mergeCell ref="B69:C69"/>
    <mergeCell ref="A70:C70"/>
    <mergeCell ref="A73:D73"/>
    <mergeCell ref="B110:C110"/>
    <mergeCell ref="A82:C82"/>
    <mergeCell ref="A85:D85"/>
    <mergeCell ref="A88:D88"/>
    <mergeCell ref="B90:C90"/>
    <mergeCell ref="A97:C97"/>
    <mergeCell ref="A100:D100"/>
    <mergeCell ref="B102:C102"/>
    <mergeCell ref="B103:C103"/>
    <mergeCell ref="A104:C104"/>
    <mergeCell ref="A107:D107"/>
    <mergeCell ref="B109:C109"/>
    <mergeCell ref="B145:C145"/>
    <mergeCell ref="B111:C111"/>
    <mergeCell ref="A112:C112"/>
    <mergeCell ref="A115:D115"/>
    <mergeCell ref="B117:C117"/>
    <mergeCell ref="A122:C122"/>
    <mergeCell ref="A125:D125"/>
    <mergeCell ref="A137:B137"/>
    <mergeCell ref="A140:D140"/>
    <mergeCell ref="B142:C142"/>
    <mergeCell ref="B143:C143"/>
    <mergeCell ref="B144:C144"/>
    <mergeCell ref="B146:C146"/>
    <mergeCell ref="B147:C147"/>
    <mergeCell ref="A148:C148"/>
    <mergeCell ref="B149:C149"/>
    <mergeCell ref="A150:C150"/>
  </mergeCells>
  <pageMargins left="0.51181102362204722" right="0.51181102362204722" top="1.1023622047244095" bottom="0.78740157480314965" header="0.31496062992125984" footer="0.31496062992125984"/>
  <pageSetup paperSize="9" scale="84" fitToHeight="0" orientation="portrait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view="pageBreakPreview" topLeftCell="A13" zoomScaleNormal="100" zoomScaleSheetLayoutView="100" workbookViewId="0">
      <selection activeCell="B30" sqref="B30"/>
    </sheetView>
  </sheetViews>
  <sheetFormatPr defaultRowHeight="15" x14ac:dyDescent="0.25"/>
  <cols>
    <col min="1" max="1" width="20.7109375" style="34" customWidth="1"/>
    <col min="2" max="15" width="10.7109375" style="34" customWidth="1"/>
    <col min="16" max="16384" width="9.140625" style="34"/>
  </cols>
  <sheetData>
    <row r="1" spans="1:15" x14ac:dyDescent="0.25">
      <c r="A1" s="48" t="s">
        <v>104</v>
      </c>
    </row>
    <row r="2" spans="1:15" x14ac:dyDescent="0.25">
      <c r="A2" s="34" t="s">
        <v>158</v>
      </c>
    </row>
    <row r="4" spans="1:15" x14ac:dyDescent="0.25">
      <c r="A4" s="48" t="s">
        <v>105</v>
      </c>
    </row>
    <row r="5" spans="1:15" s="62" customFormat="1" ht="30" customHeight="1" x14ac:dyDescent="0.25">
      <c r="A5" s="36" t="s">
        <v>106</v>
      </c>
      <c r="B5" s="90" t="str">
        <f>assrotadm!A6</f>
        <v xml:space="preserve">Assistente de Rotinas Administrativas </v>
      </c>
      <c r="C5" s="91"/>
      <c r="D5" s="90" t="str">
        <f>auxadm1!A6</f>
        <v>Auxiliar Administrativo I</v>
      </c>
      <c r="E5" s="91"/>
      <c r="F5" s="90" t="str">
        <f>auxadm2!A6</f>
        <v>Auxiliar Administrativo II</v>
      </c>
      <c r="G5" s="91"/>
      <c r="H5" s="90" t="str">
        <f>auxadm3!A6</f>
        <v>Auxiliar Administrativo III</v>
      </c>
      <c r="I5" s="91"/>
      <c r="J5" s="90" t="str">
        <f>gerser!A6</f>
        <v>Gerente de Serviços</v>
      </c>
      <c r="K5" s="91"/>
      <c r="L5" s="90" t="str">
        <f>subgerser!A6</f>
        <v>Subgerente de Serviços</v>
      </c>
      <c r="M5" s="91"/>
      <c r="N5" s="90" t="str">
        <f>estat!A6</f>
        <v>Estatístico</v>
      </c>
      <c r="O5" s="91"/>
    </row>
    <row r="6" spans="1:15" x14ac:dyDescent="0.25">
      <c r="A6" s="36" t="s">
        <v>107</v>
      </c>
      <c r="B6" s="37"/>
      <c r="C6" s="38">
        <f>assrotadm!D26</f>
        <v>1691.93</v>
      </c>
      <c r="D6" s="37"/>
      <c r="E6" s="38">
        <f>auxadm1!D26</f>
        <v>1425</v>
      </c>
      <c r="F6" s="37"/>
      <c r="G6" s="38">
        <f>auxadm2!D26</f>
        <v>1566.29</v>
      </c>
      <c r="H6" s="37"/>
      <c r="I6" s="38">
        <f>auxadm3!D26</f>
        <v>2572.88</v>
      </c>
      <c r="J6" s="37"/>
      <c r="K6" s="38">
        <f>gerser!D26</f>
        <v>2326.08</v>
      </c>
      <c r="L6" s="37"/>
      <c r="M6" s="38">
        <f>subgerser!D26</f>
        <v>2286.25</v>
      </c>
      <c r="N6" s="37"/>
      <c r="O6" s="38">
        <f>estat!D26</f>
        <v>3468.2</v>
      </c>
    </row>
    <row r="7" spans="1:15" x14ac:dyDescent="0.25">
      <c r="A7" s="36" t="s">
        <v>108</v>
      </c>
      <c r="B7" s="37">
        <v>200</v>
      </c>
      <c r="C7" s="38">
        <f>ROUND(C6/B7,2)</f>
        <v>8.4600000000000009</v>
      </c>
      <c r="D7" s="37">
        <v>200</v>
      </c>
      <c r="E7" s="38">
        <f>ROUND(E6/D7,2)</f>
        <v>7.13</v>
      </c>
      <c r="F7" s="37">
        <v>200</v>
      </c>
      <c r="G7" s="38">
        <f>ROUND(G6/F7,2)</f>
        <v>7.83</v>
      </c>
      <c r="H7" s="37">
        <v>200</v>
      </c>
      <c r="I7" s="38">
        <f>ROUND(I6/H7,2)</f>
        <v>12.86</v>
      </c>
      <c r="J7" s="37">
        <v>200</v>
      </c>
      <c r="K7" s="38">
        <f>ROUND(K6/J7,2)</f>
        <v>11.63</v>
      </c>
      <c r="L7" s="37">
        <v>200</v>
      </c>
      <c r="M7" s="38">
        <f>ROUND(M6/L7,2)</f>
        <v>11.43</v>
      </c>
      <c r="N7" s="37">
        <v>200</v>
      </c>
      <c r="O7" s="38">
        <f>ROUND(O6/N7,2)</f>
        <v>17.34</v>
      </c>
    </row>
    <row r="8" spans="1:15" x14ac:dyDescent="0.25">
      <c r="A8" s="36" t="s">
        <v>109</v>
      </c>
      <c r="B8" s="39">
        <f>assrotadm!C36</f>
        <v>0.19440000000000002</v>
      </c>
      <c r="C8" s="38">
        <f>ROUND(C7*B8,2)</f>
        <v>1.64</v>
      </c>
      <c r="D8" s="39">
        <f>auxadm1!C36</f>
        <v>0.19440000000000002</v>
      </c>
      <c r="E8" s="38">
        <f>ROUND(E7*D8,2)</f>
        <v>1.39</v>
      </c>
      <c r="F8" s="39">
        <f>auxadm2!C36</f>
        <v>0.19440000000000002</v>
      </c>
      <c r="G8" s="38">
        <f>ROUND(G7*F8,2)</f>
        <v>1.52</v>
      </c>
      <c r="H8" s="39">
        <f>auxadm3!C36</f>
        <v>0.19440000000000002</v>
      </c>
      <c r="I8" s="38">
        <f>ROUND(I7*H8,2)</f>
        <v>2.5</v>
      </c>
      <c r="J8" s="39">
        <f>gerser!C36</f>
        <v>0.19440000000000002</v>
      </c>
      <c r="K8" s="38">
        <f>ROUND(K7*J8,2)</f>
        <v>2.2599999999999998</v>
      </c>
      <c r="L8" s="39">
        <f>subgerser!C36</f>
        <v>0.19440000000000002</v>
      </c>
      <c r="M8" s="38">
        <f>ROUND(M7*L8,2)</f>
        <v>2.2200000000000002</v>
      </c>
      <c r="N8" s="39">
        <f>estat!C36</f>
        <v>0.19440000000000002</v>
      </c>
      <c r="O8" s="38">
        <f>ROUND(O7*N8,2)</f>
        <v>3.37</v>
      </c>
    </row>
    <row r="9" spans="1:15" x14ac:dyDescent="0.25">
      <c r="A9" s="36" t="s">
        <v>110</v>
      </c>
      <c r="B9" s="37"/>
      <c r="C9" s="38">
        <f>SUM(C7:C8)</f>
        <v>10.100000000000001</v>
      </c>
      <c r="D9" s="37"/>
      <c r="E9" s="38">
        <f>SUM(E7:E8)</f>
        <v>8.52</v>
      </c>
      <c r="F9" s="37"/>
      <c r="G9" s="38">
        <f>SUM(G7:G8)</f>
        <v>9.35</v>
      </c>
      <c r="H9" s="37"/>
      <c r="I9" s="38">
        <f>SUM(I7:I8)</f>
        <v>15.36</v>
      </c>
      <c r="J9" s="37"/>
      <c r="K9" s="38">
        <f>SUM(K7:K8)</f>
        <v>13.89</v>
      </c>
      <c r="L9" s="37"/>
      <c r="M9" s="38">
        <f>SUM(M7:M8)</f>
        <v>13.65</v>
      </c>
      <c r="N9" s="37"/>
      <c r="O9" s="38">
        <f>SUM(O7:O8)</f>
        <v>20.71</v>
      </c>
    </row>
    <row r="10" spans="1:15" ht="30" x14ac:dyDescent="0.25">
      <c r="A10" s="36" t="s">
        <v>111</v>
      </c>
      <c r="B10" s="39">
        <f>assrotadm!C50</f>
        <v>0.36800000000000005</v>
      </c>
      <c r="C10" s="38">
        <f>ROUND(C9*B10,2)</f>
        <v>3.72</v>
      </c>
      <c r="D10" s="39">
        <f>auxadm1!C50</f>
        <v>0.36800000000000005</v>
      </c>
      <c r="E10" s="38">
        <f>ROUND(E9*D10,2)</f>
        <v>3.14</v>
      </c>
      <c r="F10" s="39">
        <f>auxadm2!C50</f>
        <v>0.36800000000000005</v>
      </c>
      <c r="G10" s="38">
        <f>ROUND(G9*F10,2)</f>
        <v>3.44</v>
      </c>
      <c r="H10" s="39">
        <f>auxadm3!C50</f>
        <v>0.36800000000000005</v>
      </c>
      <c r="I10" s="38">
        <f>ROUND(I9*H10,2)</f>
        <v>5.65</v>
      </c>
      <c r="J10" s="39">
        <f>gerser!C50</f>
        <v>0.36800000000000005</v>
      </c>
      <c r="K10" s="38">
        <f>ROUND(K9*J10,2)</f>
        <v>5.1100000000000003</v>
      </c>
      <c r="L10" s="39">
        <f>subgerser!C50</f>
        <v>0.36800000000000005</v>
      </c>
      <c r="M10" s="38">
        <f>ROUND(M9*L10,2)</f>
        <v>5.0199999999999996</v>
      </c>
      <c r="N10" s="39">
        <f>estat!C50</f>
        <v>0.36800000000000005</v>
      </c>
      <c r="O10" s="38">
        <f>ROUND(O9*N10,2)</f>
        <v>7.62</v>
      </c>
    </row>
    <row r="11" spans="1:15" x14ac:dyDescent="0.25">
      <c r="A11" s="36" t="s">
        <v>112</v>
      </c>
      <c r="B11" s="37"/>
      <c r="C11" s="38">
        <f>SUM(C9:C10)</f>
        <v>13.820000000000002</v>
      </c>
      <c r="D11" s="37"/>
      <c r="E11" s="38">
        <f>SUM(E9:E10)</f>
        <v>11.66</v>
      </c>
      <c r="F11" s="37"/>
      <c r="G11" s="38">
        <f>SUM(G9:G10)</f>
        <v>12.79</v>
      </c>
      <c r="H11" s="37"/>
      <c r="I11" s="38">
        <f>SUM(I9:I10)</f>
        <v>21.009999999999998</v>
      </c>
      <c r="J11" s="37"/>
      <c r="K11" s="38">
        <f>SUM(K9:K10)</f>
        <v>19</v>
      </c>
      <c r="L11" s="37"/>
      <c r="M11" s="38">
        <f>SUM(M9:M10)</f>
        <v>18.670000000000002</v>
      </c>
      <c r="N11" s="37"/>
      <c r="O11" s="38">
        <f>SUM(O9:O10)</f>
        <v>28.330000000000002</v>
      </c>
    </row>
    <row r="12" spans="1:15" ht="30" x14ac:dyDescent="0.25">
      <c r="A12" s="36" t="s">
        <v>125</v>
      </c>
      <c r="B12" s="39">
        <f>assrotadm!C137</f>
        <v>0.15008210180623971</v>
      </c>
      <c r="C12" s="38">
        <f>ROUND(C11*B12,2)</f>
        <v>2.0699999999999998</v>
      </c>
      <c r="D12" s="39">
        <f>auxadm1!C137</f>
        <v>0.15008210180623971</v>
      </c>
      <c r="E12" s="38">
        <f>ROUND(E11*D12,2)</f>
        <v>1.75</v>
      </c>
      <c r="F12" s="39">
        <f>auxadm2!C137</f>
        <v>0.15008210180623971</v>
      </c>
      <c r="G12" s="38">
        <f>ROUND(G11*F12,2)</f>
        <v>1.92</v>
      </c>
      <c r="H12" s="39">
        <f>auxadm3!C137</f>
        <v>0.15008210180623971</v>
      </c>
      <c r="I12" s="38">
        <f>ROUND(I11*H12,2)</f>
        <v>3.15</v>
      </c>
      <c r="J12" s="39">
        <f>gerser!C137</f>
        <v>0.15008210180623971</v>
      </c>
      <c r="K12" s="38">
        <f>ROUND(K11*J12,2)</f>
        <v>2.85</v>
      </c>
      <c r="L12" s="39">
        <f>subgerser!C137</f>
        <v>0.15008210180623971</v>
      </c>
      <c r="M12" s="38">
        <f>ROUND(M11*L12,2)</f>
        <v>2.8</v>
      </c>
      <c r="N12" s="39">
        <f>estat!C137</f>
        <v>0.15008210180623971</v>
      </c>
      <c r="O12" s="38">
        <f>ROUND(O11*N12,2)</f>
        <v>4.25</v>
      </c>
    </row>
    <row r="13" spans="1:15" x14ac:dyDescent="0.25">
      <c r="A13" s="36" t="s">
        <v>113</v>
      </c>
      <c r="B13" s="37"/>
      <c r="C13" s="38">
        <f>SUM(C11:C12)</f>
        <v>15.890000000000002</v>
      </c>
      <c r="D13" s="37"/>
      <c r="E13" s="38">
        <f>SUM(E11:E12)</f>
        <v>13.41</v>
      </c>
      <c r="F13" s="37"/>
      <c r="G13" s="38">
        <f>SUM(G11:G12)</f>
        <v>14.709999999999999</v>
      </c>
      <c r="H13" s="37"/>
      <c r="I13" s="38">
        <f>SUM(I11:I12)</f>
        <v>24.159999999999997</v>
      </c>
      <c r="J13" s="37"/>
      <c r="K13" s="38">
        <f>SUM(K11:K12)</f>
        <v>21.85</v>
      </c>
      <c r="L13" s="37"/>
      <c r="M13" s="38">
        <f>SUM(M11:M12)</f>
        <v>21.470000000000002</v>
      </c>
      <c r="N13" s="37"/>
      <c r="O13" s="38">
        <f>SUM(O11:O12)</f>
        <v>32.58</v>
      </c>
    </row>
    <row r="14" spans="1:15" ht="30" x14ac:dyDescent="0.25">
      <c r="A14" s="36" t="s">
        <v>114</v>
      </c>
      <c r="B14" s="40">
        <v>0.5</v>
      </c>
      <c r="C14" s="47">
        <f>ROUND(C13*(1+B14),2)</f>
        <v>23.84</v>
      </c>
      <c r="D14" s="40">
        <v>0.5</v>
      </c>
      <c r="E14" s="47">
        <f>ROUND(E13*(1+D14),2)</f>
        <v>20.12</v>
      </c>
      <c r="F14" s="40">
        <v>0.5</v>
      </c>
      <c r="G14" s="47">
        <f>ROUND(G13*(1+F14),2)</f>
        <v>22.07</v>
      </c>
      <c r="H14" s="40">
        <v>0.5</v>
      </c>
      <c r="I14" s="47">
        <f>ROUND(I13*(1+H14),2)</f>
        <v>36.24</v>
      </c>
      <c r="J14" s="40">
        <v>0.5</v>
      </c>
      <c r="K14" s="47">
        <f>ROUND(K13*(1+J14),2)</f>
        <v>32.78</v>
      </c>
      <c r="L14" s="40">
        <v>0.5</v>
      </c>
      <c r="M14" s="47">
        <f>ROUND(M13*(1+L14),2)</f>
        <v>32.21</v>
      </c>
      <c r="N14" s="40">
        <v>0.5</v>
      </c>
      <c r="O14" s="47">
        <f>ROUND(O13*(1+N14),2)</f>
        <v>48.87</v>
      </c>
    </row>
    <row r="15" spans="1:15" ht="30" x14ac:dyDescent="0.25">
      <c r="A15" s="36" t="s">
        <v>115</v>
      </c>
      <c r="B15" s="40">
        <v>1</v>
      </c>
      <c r="C15" s="47">
        <f>ROUND(C13*(1+B15),2)</f>
        <v>31.78</v>
      </c>
      <c r="D15" s="40">
        <v>1</v>
      </c>
      <c r="E15" s="47">
        <f>ROUND(E13*(1+D15),2)</f>
        <v>26.82</v>
      </c>
      <c r="F15" s="40">
        <v>1</v>
      </c>
      <c r="G15" s="47">
        <f>ROUND(G13*(1+F15),2)</f>
        <v>29.42</v>
      </c>
      <c r="H15" s="40">
        <v>1</v>
      </c>
      <c r="I15" s="47">
        <f>ROUND(I13*(1+H15),2)</f>
        <v>48.32</v>
      </c>
      <c r="J15" s="40">
        <v>1</v>
      </c>
      <c r="K15" s="47">
        <f>ROUND(K13*(1+J15),2)</f>
        <v>43.7</v>
      </c>
      <c r="L15" s="40">
        <v>1</v>
      </c>
      <c r="M15" s="47">
        <f>ROUND(M13*(1+L15),2)</f>
        <v>42.94</v>
      </c>
      <c r="N15" s="40">
        <v>1</v>
      </c>
      <c r="O15" s="47">
        <f>ROUND(O13*(1+N15),2)</f>
        <v>65.16</v>
      </c>
    </row>
    <row r="17" spans="1:15" x14ac:dyDescent="0.25">
      <c r="A17" s="48" t="s">
        <v>116</v>
      </c>
    </row>
    <row r="18" spans="1:15" s="62" customFormat="1" ht="30" customHeight="1" x14ac:dyDescent="0.25">
      <c r="A18" s="36" t="str">
        <f>A5</f>
        <v>posto</v>
      </c>
      <c r="B18" s="90" t="str">
        <f t="shared" ref="B18:M18" si="0">B5</f>
        <v xml:space="preserve">Assistente de Rotinas Administrativas </v>
      </c>
      <c r="C18" s="91">
        <f t="shared" si="0"/>
        <v>0</v>
      </c>
      <c r="D18" s="90" t="str">
        <f t="shared" si="0"/>
        <v>Auxiliar Administrativo I</v>
      </c>
      <c r="E18" s="91">
        <f t="shared" si="0"/>
        <v>0</v>
      </c>
      <c r="F18" s="90" t="str">
        <f t="shared" si="0"/>
        <v>Auxiliar Administrativo II</v>
      </c>
      <c r="G18" s="91">
        <f t="shared" si="0"/>
        <v>0</v>
      </c>
      <c r="H18" s="90" t="str">
        <f t="shared" si="0"/>
        <v>Auxiliar Administrativo III</v>
      </c>
      <c r="I18" s="91">
        <f t="shared" si="0"/>
        <v>0</v>
      </c>
      <c r="J18" s="90" t="str">
        <f>J5</f>
        <v>Gerente de Serviços</v>
      </c>
      <c r="K18" s="91">
        <f>K5</f>
        <v>0</v>
      </c>
      <c r="L18" s="90" t="str">
        <f t="shared" si="0"/>
        <v>Subgerente de Serviços</v>
      </c>
      <c r="M18" s="91">
        <f t="shared" si="0"/>
        <v>0</v>
      </c>
      <c r="N18" s="90" t="str">
        <f t="shared" ref="N18:O18" si="1">N5</f>
        <v>Estatístico</v>
      </c>
      <c r="O18" s="91">
        <f t="shared" si="1"/>
        <v>0</v>
      </c>
    </row>
    <row r="19" spans="1:15" x14ac:dyDescent="0.25">
      <c r="A19" s="35" t="s">
        <v>117</v>
      </c>
      <c r="B19" s="37">
        <v>32</v>
      </c>
      <c r="C19" s="38">
        <f>B19*C14</f>
        <v>762.88</v>
      </c>
      <c r="D19" s="37">
        <v>11</v>
      </c>
      <c r="E19" s="38">
        <f>D19*E14</f>
        <v>221.32000000000002</v>
      </c>
      <c r="F19" s="37">
        <v>33</v>
      </c>
      <c r="G19" s="38">
        <f>F19*G14</f>
        <v>728.31000000000006</v>
      </c>
      <c r="H19" s="37">
        <v>33</v>
      </c>
      <c r="I19" s="38">
        <f>H19*I14</f>
        <v>1195.92</v>
      </c>
      <c r="J19" s="37">
        <v>11</v>
      </c>
      <c r="K19" s="38">
        <f>J19*K14</f>
        <v>360.58000000000004</v>
      </c>
      <c r="L19" s="37">
        <v>11</v>
      </c>
      <c r="M19" s="38">
        <f>L19*M14</f>
        <v>354.31</v>
      </c>
      <c r="N19" s="37">
        <v>11</v>
      </c>
      <c r="O19" s="38">
        <f>N19*O14</f>
        <v>537.56999999999994</v>
      </c>
    </row>
    <row r="20" spans="1:15" x14ac:dyDescent="0.25">
      <c r="A20" s="35" t="s">
        <v>118</v>
      </c>
      <c r="B20" s="37">
        <v>8</v>
      </c>
      <c r="C20" s="38">
        <f>B20*C14</f>
        <v>190.72</v>
      </c>
      <c r="D20" s="37">
        <v>8</v>
      </c>
      <c r="E20" s="38">
        <f>D20*E14</f>
        <v>160.96</v>
      </c>
      <c r="F20" s="37">
        <v>16</v>
      </c>
      <c r="G20" s="38">
        <f>F20*G14</f>
        <v>353.12</v>
      </c>
      <c r="H20" s="37">
        <v>8</v>
      </c>
      <c r="I20" s="38">
        <f>H20*I14</f>
        <v>289.92</v>
      </c>
      <c r="J20" s="37">
        <v>8</v>
      </c>
      <c r="K20" s="38">
        <f>J20*K14</f>
        <v>262.24</v>
      </c>
      <c r="L20" s="37">
        <v>8</v>
      </c>
      <c r="M20" s="38">
        <f>L20*M14</f>
        <v>257.68</v>
      </c>
      <c r="N20" s="37">
        <v>8</v>
      </c>
      <c r="O20" s="38">
        <f>N20*O14</f>
        <v>390.96</v>
      </c>
    </row>
    <row r="21" spans="1:15" x14ac:dyDescent="0.25">
      <c r="A21" s="35" t="s">
        <v>119</v>
      </c>
      <c r="B21" s="37">
        <v>8</v>
      </c>
      <c r="C21" s="38">
        <f>B21*C15</f>
        <v>254.24</v>
      </c>
      <c r="D21" s="37">
        <v>8</v>
      </c>
      <c r="E21" s="38">
        <f>D21*E15</f>
        <v>214.56</v>
      </c>
      <c r="F21" s="37">
        <v>8</v>
      </c>
      <c r="G21" s="38">
        <f>F21*G15</f>
        <v>235.36</v>
      </c>
      <c r="H21" s="37">
        <v>8</v>
      </c>
      <c r="I21" s="38">
        <f>H21*I15</f>
        <v>386.56</v>
      </c>
      <c r="J21" s="37">
        <v>8</v>
      </c>
      <c r="K21" s="38">
        <f>J21*K15</f>
        <v>349.6</v>
      </c>
      <c r="L21" s="37">
        <v>8</v>
      </c>
      <c r="M21" s="38">
        <f>L21*M15</f>
        <v>343.52</v>
      </c>
      <c r="N21" s="37">
        <v>8</v>
      </c>
      <c r="O21" s="38">
        <f>N21*O15</f>
        <v>521.28</v>
      </c>
    </row>
    <row r="22" spans="1:15" x14ac:dyDescent="0.25">
      <c r="A22" s="35" t="s">
        <v>121</v>
      </c>
      <c r="B22" s="37"/>
      <c r="C22" s="38">
        <f>SUM(C19:C21)</f>
        <v>1207.8400000000001</v>
      </c>
      <c r="D22" s="37"/>
      <c r="E22" s="38">
        <f>SUM(E19:E21)</f>
        <v>596.84</v>
      </c>
      <c r="F22" s="37"/>
      <c r="G22" s="38">
        <f>SUM(G19:G21)</f>
        <v>1316.79</v>
      </c>
      <c r="H22" s="37"/>
      <c r="I22" s="38">
        <f>SUM(I19:I21)</f>
        <v>1872.4</v>
      </c>
      <c r="J22" s="37"/>
      <c r="K22" s="38">
        <f>SUM(K19:K21)</f>
        <v>972.42000000000007</v>
      </c>
      <c r="L22" s="37"/>
      <c r="M22" s="38">
        <f>SUM(M19:M21)</f>
        <v>955.51</v>
      </c>
      <c r="N22" s="37"/>
      <c r="O22" s="38">
        <f>SUM(O19:O21)</f>
        <v>1449.81</v>
      </c>
    </row>
    <row r="24" spans="1:15" x14ac:dyDescent="0.25">
      <c r="A24" s="48" t="s">
        <v>122</v>
      </c>
    </row>
    <row r="25" spans="1:15" s="62" customFormat="1" ht="30" customHeight="1" x14ac:dyDescent="0.25">
      <c r="A25" s="36" t="str">
        <f t="shared" ref="A25:O25" si="2">A5</f>
        <v>posto</v>
      </c>
      <c r="B25" s="90" t="str">
        <f t="shared" si="2"/>
        <v xml:space="preserve">Assistente de Rotinas Administrativas </v>
      </c>
      <c r="C25" s="91">
        <f t="shared" si="2"/>
        <v>0</v>
      </c>
      <c r="D25" s="90" t="str">
        <f t="shared" si="2"/>
        <v>Auxiliar Administrativo I</v>
      </c>
      <c r="E25" s="91">
        <f t="shared" si="2"/>
        <v>0</v>
      </c>
      <c r="F25" s="90" t="str">
        <f t="shared" si="2"/>
        <v>Auxiliar Administrativo II</v>
      </c>
      <c r="G25" s="91">
        <f t="shared" si="2"/>
        <v>0</v>
      </c>
      <c r="H25" s="90" t="str">
        <f t="shared" si="2"/>
        <v>Auxiliar Administrativo III</v>
      </c>
      <c r="I25" s="91">
        <f t="shared" si="2"/>
        <v>0</v>
      </c>
      <c r="J25" s="90" t="str">
        <f t="shared" si="2"/>
        <v>Gerente de Serviços</v>
      </c>
      <c r="K25" s="91">
        <f t="shared" si="2"/>
        <v>0</v>
      </c>
      <c r="L25" s="90" t="str">
        <f t="shared" si="2"/>
        <v>Subgerente de Serviços</v>
      </c>
      <c r="M25" s="91">
        <f t="shared" si="2"/>
        <v>0</v>
      </c>
      <c r="N25" s="90" t="str">
        <f t="shared" si="2"/>
        <v>Estatístico</v>
      </c>
      <c r="O25" s="91">
        <f t="shared" si="2"/>
        <v>0</v>
      </c>
    </row>
    <row r="26" spans="1:15" x14ac:dyDescent="0.25">
      <c r="A26" s="36" t="s">
        <v>123</v>
      </c>
      <c r="B26" s="37"/>
      <c r="C26" s="38">
        <v>5.2</v>
      </c>
      <c r="D26" s="37"/>
      <c r="E26" s="38">
        <v>5.2</v>
      </c>
      <c r="F26" s="37"/>
      <c r="G26" s="38">
        <v>5.2</v>
      </c>
      <c r="H26" s="37"/>
      <c r="I26" s="38">
        <v>5.2</v>
      </c>
      <c r="J26" s="37"/>
      <c r="K26" s="38">
        <v>5.2</v>
      </c>
      <c r="L26" s="37"/>
      <c r="M26" s="38">
        <v>5.2</v>
      </c>
      <c r="N26" s="37"/>
      <c r="O26" s="38">
        <v>5.2</v>
      </c>
    </row>
    <row r="27" spans="1:15" x14ac:dyDescent="0.25">
      <c r="A27" s="36" t="s">
        <v>124</v>
      </c>
      <c r="B27" s="37">
        <v>2</v>
      </c>
      <c r="C27" s="38">
        <f>B27*C26</f>
        <v>10.4</v>
      </c>
      <c r="D27" s="37">
        <v>2</v>
      </c>
      <c r="E27" s="38">
        <f>D27*E26</f>
        <v>10.4</v>
      </c>
      <c r="F27" s="37">
        <v>2</v>
      </c>
      <c r="G27" s="38">
        <f>F27*G26</f>
        <v>10.4</v>
      </c>
      <c r="H27" s="37">
        <v>2</v>
      </c>
      <c r="I27" s="38">
        <f>H27*I26</f>
        <v>10.4</v>
      </c>
      <c r="J27" s="37">
        <v>2</v>
      </c>
      <c r="K27" s="38">
        <f>J27*K26</f>
        <v>10.4</v>
      </c>
      <c r="L27" s="37">
        <v>2</v>
      </c>
      <c r="M27" s="38">
        <f>L27*M26</f>
        <v>10.4</v>
      </c>
      <c r="N27" s="37">
        <v>2</v>
      </c>
      <c r="O27" s="38">
        <f>N27*O26</f>
        <v>10.4</v>
      </c>
    </row>
    <row r="28" spans="1:15" ht="30" x14ac:dyDescent="0.25">
      <c r="A28" s="36" t="s">
        <v>125</v>
      </c>
      <c r="B28" s="39">
        <f>B12</f>
        <v>0.15008210180623971</v>
      </c>
      <c r="C28" s="38">
        <f>ROUND(C27*B28,2)</f>
        <v>1.56</v>
      </c>
      <c r="D28" s="39">
        <f>D12</f>
        <v>0.15008210180623971</v>
      </c>
      <c r="E28" s="38">
        <f>ROUND(E27*D28,2)</f>
        <v>1.56</v>
      </c>
      <c r="F28" s="39">
        <f>F12</f>
        <v>0.15008210180623971</v>
      </c>
      <c r="G28" s="38">
        <f>ROUND(G27*F28,2)</f>
        <v>1.56</v>
      </c>
      <c r="H28" s="39">
        <f>H12</f>
        <v>0.15008210180623971</v>
      </c>
      <c r="I28" s="38">
        <f>ROUND(I27*H28,2)</f>
        <v>1.56</v>
      </c>
      <c r="J28" s="39">
        <f>J12</f>
        <v>0.15008210180623971</v>
      </c>
      <c r="K28" s="38">
        <f>ROUND(K27*J28,2)</f>
        <v>1.56</v>
      </c>
      <c r="L28" s="39">
        <f>L12</f>
        <v>0.15008210180623971</v>
      </c>
      <c r="M28" s="38">
        <f>ROUND(M27*L28,2)</f>
        <v>1.56</v>
      </c>
      <c r="N28" s="39">
        <f>N12</f>
        <v>0.15008210180623971</v>
      </c>
      <c r="O28" s="38">
        <f>ROUND(O27*N28,2)</f>
        <v>1.56</v>
      </c>
    </row>
    <row r="29" spans="1:15" ht="30" x14ac:dyDescent="0.25">
      <c r="A29" s="36" t="s">
        <v>126</v>
      </c>
      <c r="B29" s="39"/>
      <c r="C29" s="47">
        <f>SUM(C27:C28)</f>
        <v>11.96</v>
      </c>
      <c r="D29" s="39"/>
      <c r="E29" s="47">
        <f>SUM(E27:E28)</f>
        <v>11.96</v>
      </c>
      <c r="F29" s="39"/>
      <c r="G29" s="47">
        <f>SUM(G27:G28)</f>
        <v>11.96</v>
      </c>
      <c r="H29" s="39"/>
      <c r="I29" s="47">
        <f>SUM(I27:I28)</f>
        <v>11.96</v>
      </c>
      <c r="J29" s="39"/>
      <c r="K29" s="47">
        <f>SUM(K27:K28)</f>
        <v>11.96</v>
      </c>
      <c r="L29" s="39"/>
      <c r="M29" s="47">
        <f>SUM(M27:M28)</f>
        <v>11.96</v>
      </c>
      <c r="N29" s="39"/>
      <c r="O29" s="47">
        <f>SUM(O27:O28)</f>
        <v>11.96</v>
      </c>
    </row>
    <row r="30" spans="1:15" x14ac:dyDescent="0.25">
      <c r="A30" s="35" t="s">
        <v>118</v>
      </c>
      <c r="B30" s="37">
        <f>ROUNDUP((B20/8)/B33,0)</f>
        <v>1</v>
      </c>
      <c r="C30" s="38">
        <f>B30*C29</f>
        <v>11.96</v>
      </c>
      <c r="D30" s="37">
        <f>ROUNDUP((D20/8)/D33,0)</f>
        <v>1</v>
      </c>
      <c r="E30" s="38">
        <f>D30*E29</f>
        <v>11.96</v>
      </c>
      <c r="F30" s="37">
        <f>ROUNDUP((F20/8)/F33,0)</f>
        <v>1</v>
      </c>
      <c r="G30" s="38">
        <f>F30*G29</f>
        <v>11.96</v>
      </c>
      <c r="H30" s="37">
        <f>ROUNDUP((H20/8)/H33,0)</f>
        <v>1</v>
      </c>
      <c r="I30" s="38">
        <f>H30*I29</f>
        <v>11.96</v>
      </c>
      <c r="J30" s="37">
        <f>ROUNDUP((J20/8)/J33,0)</f>
        <v>1</v>
      </c>
      <c r="K30" s="38">
        <f>J30*K29</f>
        <v>11.96</v>
      </c>
      <c r="L30" s="37">
        <f>ROUNDUP((L20/8)/L33,0)</f>
        <v>1</v>
      </c>
      <c r="M30" s="38">
        <f>L30*M29</f>
        <v>11.96</v>
      </c>
      <c r="N30" s="37">
        <f>ROUNDUP((N20/8)/N33,0)</f>
        <v>1</v>
      </c>
      <c r="O30" s="38">
        <f>N30*O29</f>
        <v>11.96</v>
      </c>
    </row>
    <row r="31" spans="1:15" x14ac:dyDescent="0.25">
      <c r="A31" s="35" t="s">
        <v>119</v>
      </c>
      <c r="B31" s="37">
        <f>ROUNDUP((B21/8)/B33,0)</f>
        <v>1</v>
      </c>
      <c r="C31" s="38">
        <f>B31*C29</f>
        <v>11.96</v>
      </c>
      <c r="D31" s="37">
        <f>ROUNDUP((D21/8)/D33,0)</f>
        <v>1</v>
      </c>
      <c r="E31" s="38">
        <f>D31*E29</f>
        <v>11.96</v>
      </c>
      <c r="F31" s="37">
        <f>ROUNDUP((F21/8)/F33,0)</f>
        <v>1</v>
      </c>
      <c r="G31" s="38">
        <f>F31*G29</f>
        <v>11.96</v>
      </c>
      <c r="H31" s="37">
        <f>ROUNDUP((H21/8)/H33,0)</f>
        <v>1</v>
      </c>
      <c r="I31" s="38">
        <f>H31*I29</f>
        <v>11.96</v>
      </c>
      <c r="J31" s="37">
        <f>ROUNDUP((J21/8)/J33,0)</f>
        <v>1</v>
      </c>
      <c r="K31" s="38">
        <f>J31*K29</f>
        <v>11.96</v>
      </c>
      <c r="L31" s="37">
        <f>ROUNDUP((L21/8)/L33,0)</f>
        <v>1</v>
      </c>
      <c r="M31" s="38">
        <f>L31*M29</f>
        <v>11.96</v>
      </c>
      <c r="N31" s="37">
        <f>ROUNDUP((N21/8)/N33,0)</f>
        <v>1</v>
      </c>
      <c r="O31" s="38">
        <f>N31*O29</f>
        <v>11.96</v>
      </c>
    </row>
    <row r="32" spans="1:15" x14ac:dyDescent="0.25">
      <c r="A32" s="35" t="s">
        <v>120</v>
      </c>
      <c r="B32" s="37"/>
      <c r="C32" s="38">
        <f>SUM(C30:C31)</f>
        <v>23.92</v>
      </c>
      <c r="D32" s="37"/>
      <c r="E32" s="38">
        <f>SUM(E30:E31)</f>
        <v>23.92</v>
      </c>
      <c r="F32" s="37"/>
      <c r="G32" s="38">
        <f>SUM(G30:G31)</f>
        <v>23.92</v>
      </c>
      <c r="H32" s="37"/>
      <c r="I32" s="38">
        <f>SUM(I30:I31)</f>
        <v>23.92</v>
      </c>
      <c r="J32" s="37"/>
      <c r="K32" s="38">
        <f>SUM(K30:K31)</f>
        <v>23.92</v>
      </c>
      <c r="L32" s="37"/>
      <c r="M32" s="38">
        <f>SUM(M30:M31)</f>
        <v>23.92</v>
      </c>
      <c r="N32" s="37"/>
      <c r="O32" s="38">
        <f>SUM(O30:O31)</f>
        <v>23.92</v>
      </c>
    </row>
    <row r="33" spans="1:15" x14ac:dyDescent="0.25">
      <c r="A33" s="63" t="s">
        <v>121</v>
      </c>
      <c r="B33" s="64">
        <f>assrotadm!D6</f>
        <v>22</v>
      </c>
      <c r="C33" s="65">
        <f>B33*C32</f>
        <v>526.24</v>
      </c>
      <c r="D33" s="64">
        <f>auxadm1!D6</f>
        <v>2</v>
      </c>
      <c r="E33" s="65">
        <f>D33*E32</f>
        <v>47.84</v>
      </c>
      <c r="F33" s="64">
        <f>auxadm2!D6</f>
        <v>11</v>
      </c>
      <c r="G33" s="65">
        <f>F33*G32</f>
        <v>263.12</v>
      </c>
      <c r="H33" s="64">
        <f>auxadm3!D6</f>
        <v>3</v>
      </c>
      <c r="I33" s="65">
        <f>H33*I32</f>
        <v>71.760000000000005</v>
      </c>
      <c r="J33" s="64">
        <f>gerser!D6</f>
        <v>1</v>
      </c>
      <c r="K33" s="65">
        <f>J33*K32</f>
        <v>23.92</v>
      </c>
      <c r="L33" s="64">
        <f>subgerser!D6</f>
        <v>1</v>
      </c>
      <c r="M33" s="65">
        <f>L33*M32</f>
        <v>23.92</v>
      </c>
      <c r="N33" s="64">
        <f>estat!D6</f>
        <v>1</v>
      </c>
      <c r="O33" s="65">
        <f>N33*O32</f>
        <v>23.92</v>
      </c>
    </row>
    <row r="35" spans="1:15" x14ac:dyDescent="0.25">
      <c r="A35" s="48" t="s">
        <v>159</v>
      </c>
    </row>
    <row r="36" spans="1:15" s="62" customFormat="1" ht="30" customHeight="1" x14ac:dyDescent="0.25">
      <c r="A36" s="36" t="str">
        <f>A5</f>
        <v>posto</v>
      </c>
      <c r="B36" s="90" t="str">
        <f>B5</f>
        <v xml:space="preserve">Assistente de Rotinas Administrativas </v>
      </c>
      <c r="C36" s="91">
        <f>C16</f>
        <v>0</v>
      </c>
      <c r="D36" s="90" t="str">
        <f>D5</f>
        <v>Auxiliar Administrativo I</v>
      </c>
      <c r="E36" s="91">
        <f>E16</f>
        <v>0</v>
      </c>
      <c r="F36" s="90" t="str">
        <f>F5</f>
        <v>Auxiliar Administrativo II</v>
      </c>
      <c r="G36" s="91">
        <f>G16</f>
        <v>0</v>
      </c>
      <c r="H36" s="90" t="str">
        <f>H5</f>
        <v>Auxiliar Administrativo III</v>
      </c>
      <c r="I36" s="91">
        <f>I16</f>
        <v>0</v>
      </c>
      <c r="J36" s="90" t="str">
        <f>J5</f>
        <v>Gerente de Serviços</v>
      </c>
      <c r="K36" s="91">
        <f>K16</f>
        <v>0</v>
      </c>
      <c r="L36" s="90" t="str">
        <f>L5</f>
        <v>Subgerente de Serviços</v>
      </c>
      <c r="M36" s="91">
        <f>M16</f>
        <v>0</v>
      </c>
      <c r="N36" s="90" t="str">
        <f>N5</f>
        <v>Estatístico</v>
      </c>
      <c r="O36" s="91">
        <f>O16</f>
        <v>0</v>
      </c>
    </row>
    <row r="37" spans="1:15" x14ac:dyDescent="0.25">
      <c r="A37" s="36" t="s">
        <v>123</v>
      </c>
      <c r="B37" s="37"/>
      <c r="C37" s="38">
        <f>17*0.8</f>
        <v>13.600000000000001</v>
      </c>
      <c r="D37" s="37"/>
      <c r="E37" s="38">
        <f>17*0.8</f>
        <v>13.600000000000001</v>
      </c>
      <c r="F37" s="37"/>
      <c r="G37" s="38">
        <f>17*0.8</f>
        <v>13.600000000000001</v>
      </c>
      <c r="H37" s="37"/>
      <c r="I37" s="38">
        <f>17*0.8</f>
        <v>13.600000000000001</v>
      </c>
      <c r="J37" s="37"/>
      <c r="K37" s="38">
        <f>17*0.8</f>
        <v>13.600000000000001</v>
      </c>
      <c r="L37" s="37"/>
      <c r="M37" s="38">
        <f>17*0.8</f>
        <v>13.600000000000001</v>
      </c>
      <c r="N37" s="37"/>
      <c r="O37" s="38">
        <f>17*0.8</f>
        <v>13.600000000000001</v>
      </c>
    </row>
    <row r="38" spans="1:15" ht="30" x14ac:dyDescent="0.25">
      <c r="A38" s="36" t="s">
        <v>125</v>
      </c>
      <c r="B38" s="39">
        <f>B12</f>
        <v>0.15008210180623971</v>
      </c>
      <c r="C38" s="38">
        <f>ROUND(C37*B38,2)</f>
        <v>2.04</v>
      </c>
      <c r="D38" s="39">
        <f>D12</f>
        <v>0.15008210180623971</v>
      </c>
      <c r="E38" s="38">
        <f>ROUND(E37*D38,2)</f>
        <v>2.04</v>
      </c>
      <c r="F38" s="39">
        <f>F12</f>
        <v>0.15008210180623971</v>
      </c>
      <c r="G38" s="38">
        <f>ROUND(G37*F38,2)</f>
        <v>2.04</v>
      </c>
      <c r="H38" s="39">
        <f>H12</f>
        <v>0.15008210180623971</v>
      </c>
      <c r="I38" s="38">
        <f>ROUND(I37*H38,2)</f>
        <v>2.04</v>
      </c>
      <c r="J38" s="39">
        <f>J12</f>
        <v>0.15008210180623971</v>
      </c>
      <c r="K38" s="38">
        <f>ROUND(K37*J38,2)</f>
        <v>2.04</v>
      </c>
      <c r="L38" s="39">
        <f>L12</f>
        <v>0.15008210180623971</v>
      </c>
      <c r="M38" s="38">
        <f>ROUND(M37*L38,2)</f>
        <v>2.04</v>
      </c>
      <c r="N38" s="39">
        <f>N12</f>
        <v>0.15008210180623971</v>
      </c>
      <c r="O38" s="38">
        <f>ROUND(O37*N38,2)</f>
        <v>2.04</v>
      </c>
    </row>
    <row r="39" spans="1:15" ht="30" x14ac:dyDescent="0.25">
      <c r="A39" s="36" t="s">
        <v>160</v>
      </c>
      <c r="B39" s="39"/>
      <c r="C39" s="47">
        <f>SUM(C37:C38)</f>
        <v>15.64</v>
      </c>
      <c r="D39" s="39"/>
      <c r="E39" s="47">
        <f>SUM(E37:E38)</f>
        <v>15.64</v>
      </c>
      <c r="F39" s="39"/>
      <c r="G39" s="47">
        <f>SUM(G37:G38)</f>
        <v>15.64</v>
      </c>
      <c r="H39" s="39"/>
      <c r="I39" s="47">
        <f>SUM(I37:I38)</f>
        <v>15.64</v>
      </c>
      <c r="J39" s="39"/>
      <c r="K39" s="47">
        <f>SUM(K37:K38)</f>
        <v>15.64</v>
      </c>
      <c r="L39" s="39"/>
      <c r="M39" s="47">
        <f>SUM(M37:M38)</f>
        <v>15.64</v>
      </c>
      <c r="N39" s="39"/>
      <c r="O39" s="47">
        <f>SUM(O37:O38)</f>
        <v>15.64</v>
      </c>
    </row>
    <row r="40" spans="1:15" x14ac:dyDescent="0.25">
      <c r="A40" s="35" t="s">
        <v>118</v>
      </c>
      <c r="B40" s="37">
        <f>B30</f>
        <v>1</v>
      </c>
      <c r="C40" s="38">
        <f>B40*C39</f>
        <v>15.64</v>
      </c>
      <c r="D40" s="37">
        <f>D30</f>
        <v>1</v>
      </c>
      <c r="E40" s="38">
        <f>D40*E39</f>
        <v>15.64</v>
      </c>
      <c r="F40" s="37">
        <f>F30</f>
        <v>1</v>
      </c>
      <c r="G40" s="38">
        <f>F40*G39</f>
        <v>15.64</v>
      </c>
      <c r="H40" s="37">
        <f>H30</f>
        <v>1</v>
      </c>
      <c r="I40" s="38">
        <f>H40*I39</f>
        <v>15.64</v>
      </c>
      <c r="J40" s="37">
        <f>J30</f>
        <v>1</v>
      </c>
      <c r="K40" s="38">
        <f>J40*K39</f>
        <v>15.64</v>
      </c>
      <c r="L40" s="37">
        <f>L30</f>
        <v>1</v>
      </c>
      <c r="M40" s="38">
        <f>L40*M39</f>
        <v>15.64</v>
      </c>
      <c r="N40" s="37">
        <f>N30</f>
        <v>1</v>
      </c>
      <c r="O40" s="38">
        <f>N40*O39</f>
        <v>15.64</v>
      </c>
    </row>
    <row r="41" spans="1:15" x14ac:dyDescent="0.25">
      <c r="A41" s="35" t="s">
        <v>119</v>
      </c>
      <c r="B41" s="37">
        <f t="shared" ref="B41" si="3">B31</f>
        <v>1</v>
      </c>
      <c r="C41" s="38">
        <f>B41*C39</f>
        <v>15.64</v>
      </c>
      <c r="D41" s="37">
        <f t="shared" ref="D41:F41" si="4">D31</f>
        <v>1</v>
      </c>
      <c r="E41" s="38">
        <f>D41*E39</f>
        <v>15.64</v>
      </c>
      <c r="F41" s="37">
        <f t="shared" si="4"/>
        <v>1</v>
      </c>
      <c r="G41" s="38">
        <f>F41*G39</f>
        <v>15.64</v>
      </c>
      <c r="H41" s="37">
        <f t="shared" ref="H41:J41" si="5">H31</f>
        <v>1</v>
      </c>
      <c r="I41" s="38">
        <f>H41*I39</f>
        <v>15.64</v>
      </c>
      <c r="J41" s="37">
        <f t="shared" si="5"/>
        <v>1</v>
      </c>
      <c r="K41" s="38">
        <f>J41*K39</f>
        <v>15.64</v>
      </c>
      <c r="L41" s="37">
        <f t="shared" ref="L41:N43" si="6">L31</f>
        <v>1</v>
      </c>
      <c r="M41" s="38">
        <f>L41*M39</f>
        <v>15.64</v>
      </c>
      <c r="N41" s="37">
        <f t="shared" si="6"/>
        <v>1</v>
      </c>
      <c r="O41" s="38">
        <f>N41*O39</f>
        <v>15.64</v>
      </c>
    </row>
    <row r="42" spans="1:15" x14ac:dyDescent="0.25">
      <c r="A42" s="35" t="s">
        <v>120</v>
      </c>
      <c r="B42" s="37"/>
      <c r="C42" s="38">
        <f>SUM(C40:C41)</f>
        <v>31.28</v>
      </c>
      <c r="D42" s="37"/>
      <c r="E42" s="38">
        <f>SUM(E40:E41)</f>
        <v>31.28</v>
      </c>
      <c r="F42" s="37"/>
      <c r="G42" s="38">
        <f>SUM(G40:G41)</f>
        <v>31.28</v>
      </c>
      <c r="H42" s="37"/>
      <c r="I42" s="38">
        <f>SUM(I40:I41)</f>
        <v>31.28</v>
      </c>
      <c r="J42" s="37"/>
      <c r="K42" s="38">
        <f>SUM(K40:K41)</f>
        <v>31.28</v>
      </c>
      <c r="L42" s="37"/>
      <c r="M42" s="38">
        <f>SUM(M40:M41)</f>
        <v>31.28</v>
      </c>
      <c r="N42" s="37"/>
      <c r="O42" s="38">
        <f>SUM(O40:O41)</f>
        <v>31.28</v>
      </c>
    </row>
    <row r="43" spans="1:15" x14ac:dyDescent="0.25">
      <c r="A43" s="63" t="s">
        <v>121</v>
      </c>
      <c r="B43" s="37">
        <f t="shared" ref="B43" si="7">B33</f>
        <v>22</v>
      </c>
      <c r="C43" s="65">
        <f>B43*C42</f>
        <v>688.16000000000008</v>
      </c>
      <c r="D43" s="37">
        <f t="shared" ref="D43:F43" si="8">D33</f>
        <v>2</v>
      </c>
      <c r="E43" s="65">
        <f>D43*E42</f>
        <v>62.56</v>
      </c>
      <c r="F43" s="37">
        <f t="shared" si="8"/>
        <v>11</v>
      </c>
      <c r="G43" s="65">
        <f>F43*G42</f>
        <v>344.08000000000004</v>
      </c>
      <c r="H43" s="37">
        <f t="shared" ref="H43:J43" si="9">H33</f>
        <v>3</v>
      </c>
      <c r="I43" s="65">
        <f>H43*I42</f>
        <v>93.84</v>
      </c>
      <c r="J43" s="37">
        <f t="shared" si="9"/>
        <v>1</v>
      </c>
      <c r="K43" s="65">
        <f>J43*K42</f>
        <v>31.28</v>
      </c>
      <c r="L43" s="37">
        <f t="shared" si="6"/>
        <v>1</v>
      </c>
      <c r="M43" s="65">
        <f>L43*M42</f>
        <v>31.28</v>
      </c>
      <c r="N43" s="37">
        <f t="shared" si="6"/>
        <v>1</v>
      </c>
      <c r="O43" s="65">
        <f>N43*O42</f>
        <v>31.28</v>
      </c>
    </row>
    <row r="45" spans="1:15" x14ac:dyDescent="0.25">
      <c r="A45" s="48" t="s">
        <v>127</v>
      </c>
    </row>
    <row r="46" spans="1:15" ht="30" customHeight="1" x14ac:dyDescent="0.25">
      <c r="A46" s="36" t="str">
        <f t="shared" ref="A46:I46" si="10">A5</f>
        <v>posto</v>
      </c>
      <c r="B46" s="90" t="str">
        <f t="shared" si="10"/>
        <v xml:space="preserve">Assistente de Rotinas Administrativas </v>
      </c>
      <c r="C46" s="91">
        <f t="shared" si="10"/>
        <v>0</v>
      </c>
      <c r="D46" s="90" t="str">
        <f t="shared" si="10"/>
        <v>Auxiliar Administrativo I</v>
      </c>
      <c r="E46" s="91">
        <f t="shared" si="10"/>
        <v>0</v>
      </c>
      <c r="F46" s="90" t="str">
        <f t="shared" si="10"/>
        <v>Auxiliar Administrativo II</v>
      </c>
      <c r="G46" s="91">
        <f t="shared" si="10"/>
        <v>0</v>
      </c>
      <c r="H46" s="90" t="str">
        <f t="shared" si="10"/>
        <v>Auxiliar Administrativo III</v>
      </c>
      <c r="I46" s="91">
        <f t="shared" si="10"/>
        <v>0</v>
      </c>
      <c r="J46" s="90" t="str">
        <f>L5</f>
        <v>Subgerente de Serviços</v>
      </c>
      <c r="K46" s="91">
        <f>M5</f>
        <v>0</v>
      </c>
      <c r="L46" s="90" t="str">
        <f>J5</f>
        <v>Gerente de Serviços</v>
      </c>
      <c r="M46" s="91">
        <f>K5</f>
        <v>0</v>
      </c>
      <c r="N46" s="90" t="str">
        <f>N5</f>
        <v>Estatístico</v>
      </c>
      <c r="O46" s="91">
        <f>O5</f>
        <v>0</v>
      </c>
    </row>
    <row r="47" spans="1:15" x14ac:dyDescent="0.25">
      <c r="A47" s="63" t="s">
        <v>128</v>
      </c>
      <c r="B47" s="64"/>
      <c r="C47" s="65">
        <f>C22</f>
        <v>1207.8400000000001</v>
      </c>
      <c r="D47" s="64"/>
      <c r="E47" s="65">
        <f>E22</f>
        <v>596.84</v>
      </c>
      <c r="F47" s="64"/>
      <c r="G47" s="65">
        <f>G22</f>
        <v>1316.79</v>
      </c>
      <c r="H47" s="64"/>
      <c r="I47" s="65">
        <f>I22</f>
        <v>1872.4</v>
      </c>
      <c r="J47" s="64"/>
      <c r="K47" s="65">
        <f>K22</f>
        <v>972.42000000000007</v>
      </c>
      <c r="L47" s="64"/>
      <c r="M47" s="65">
        <f>M22</f>
        <v>955.51</v>
      </c>
      <c r="N47" s="64"/>
      <c r="O47" s="65">
        <f>O22</f>
        <v>1449.81</v>
      </c>
    </row>
    <row r="48" spans="1:15" x14ac:dyDescent="0.25">
      <c r="A48" s="35" t="s">
        <v>129</v>
      </c>
      <c r="B48" s="37"/>
      <c r="C48" s="38">
        <f>C33</f>
        <v>526.24</v>
      </c>
      <c r="D48" s="37"/>
      <c r="E48" s="38">
        <f>E33</f>
        <v>47.84</v>
      </c>
      <c r="F48" s="37"/>
      <c r="G48" s="38">
        <f>G33</f>
        <v>263.12</v>
      </c>
      <c r="H48" s="37"/>
      <c r="I48" s="38">
        <f>I33</f>
        <v>71.760000000000005</v>
      </c>
      <c r="J48" s="37"/>
      <c r="K48" s="38">
        <f>M33</f>
        <v>23.92</v>
      </c>
      <c r="L48" s="37"/>
      <c r="M48" s="38">
        <f>K33</f>
        <v>23.92</v>
      </c>
      <c r="N48" s="37"/>
      <c r="O48" s="38">
        <f>O33</f>
        <v>23.92</v>
      </c>
    </row>
    <row r="49" spans="1:15" x14ac:dyDescent="0.25">
      <c r="A49" s="35" t="s">
        <v>161</v>
      </c>
      <c r="B49" s="37"/>
      <c r="C49" s="38">
        <f>C43</f>
        <v>688.16000000000008</v>
      </c>
      <c r="D49" s="37"/>
      <c r="E49" s="38">
        <f t="shared" ref="E49" si="11">E43</f>
        <v>62.56</v>
      </c>
      <c r="F49" s="37"/>
      <c r="G49" s="38">
        <f t="shared" ref="G49" si="12">G43</f>
        <v>344.08000000000004</v>
      </c>
      <c r="H49" s="37"/>
      <c r="I49" s="38">
        <f t="shared" ref="I49" si="13">I43</f>
        <v>93.84</v>
      </c>
      <c r="J49" s="37"/>
      <c r="K49" s="38">
        <f t="shared" ref="K49" si="14">K43</f>
        <v>31.28</v>
      </c>
      <c r="L49" s="37"/>
      <c r="M49" s="38">
        <f t="shared" ref="M49" si="15">M43</f>
        <v>31.28</v>
      </c>
      <c r="N49" s="37"/>
      <c r="O49" s="38">
        <f t="shared" ref="O49" si="16">O43</f>
        <v>31.28</v>
      </c>
    </row>
    <row r="50" spans="1:15" x14ac:dyDescent="0.25">
      <c r="A50" s="63" t="s">
        <v>121</v>
      </c>
      <c r="B50" s="64"/>
      <c r="C50" s="65">
        <f>SUM(C47:C49)</f>
        <v>2422.2400000000002</v>
      </c>
      <c r="D50" s="64"/>
      <c r="E50" s="65">
        <f t="shared" ref="E50" si="17">SUM(E47:E49)</f>
        <v>707.24</v>
      </c>
      <c r="F50" s="64"/>
      <c r="G50" s="65">
        <f t="shared" ref="G50" si="18">SUM(G47:G49)</f>
        <v>1923.9899999999998</v>
      </c>
      <c r="H50" s="64"/>
      <c r="I50" s="65">
        <f t="shared" ref="I50" si="19">SUM(I47:I49)</f>
        <v>2038</v>
      </c>
      <c r="J50" s="64"/>
      <c r="K50" s="65">
        <f t="shared" ref="K50" si="20">SUM(K47:K49)</f>
        <v>1027.6200000000001</v>
      </c>
      <c r="L50" s="64"/>
      <c r="M50" s="65">
        <f t="shared" ref="M50" si="21">SUM(M47:M49)</f>
        <v>1010.7099999999999</v>
      </c>
      <c r="N50" s="64"/>
      <c r="O50" s="65">
        <f t="shared" ref="O50" si="22">SUM(O47:O49)</f>
        <v>1505.01</v>
      </c>
    </row>
    <row r="52" spans="1:15" x14ac:dyDescent="0.25">
      <c r="A52" s="48" t="s">
        <v>130</v>
      </c>
    </row>
    <row r="53" spans="1:15" ht="16.5" x14ac:dyDescent="0.25">
      <c r="A53" s="50">
        <f>SUM(B50:O50)</f>
        <v>10634.81</v>
      </c>
    </row>
  </sheetData>
  <mergeCells count="35">
    <mergeCell ref="L46:M46"/>
    <mergeCell ref="B25:C25"/>
    <mergeCell ref="D25:E25"/>
    <mergeCell ref="F25:G25"/>
    <mergeCell ref="H25:I25"/>
    <mergeCell ref="L25:M25"/>
    <mergeCell ref="J25:K25"/>
    <mergeCell ref="B46:C46"/>
    <mergeCell ref="D46:E46"/>
    <mergeCell ref="F46:G46"/>
    <mergeCell ref="H46:I46"/>
    <mergeCell ref="J46:K46"/>
    <mergeCell ref="L5:M5"/>
    <mergeCell ref="J5:K5"/>
    <mergeCell ref="B18:C18"/>
    <mergeCell ref="D18:E18"/>
    <mergeCell ref="F18:G18"/>
    <mergeCell ref="H18:I18"/>
    <mergeCell ref="L18:M18"/>
    <mergeCell ref="N5:O5"/>
    <mergeCell ref="N18:O18"/>
    <mergeCell ref="N25:O25"/>
    <mergeCell ref="N46:O46"/>
    <mergeCell ref="B36:C36"/>
    <mergeCell ref="D36:E36"/>
    <mergeCell ref="F36:G36"/>
    <mergeCell ref="H36:I36"/>
    <mergeCell ref="J36:K36"/>
    <mergeCell ref="L36:M36"/>
    <mergeCell ref="N36:O36"/>
    <mergeCell ref="J18:K18"/>
    <mergeCell ref="B5:C5"/>
    <mergeCell ref="D5:E5"/>
    <mergeCell ref="F5:G5"/>
    <mergeCell ref="H5:I5"/>
  </mergeCells>
  <pageMargins left="0.51181102362204722" right="0.51181102362204722" top="1.1023622047244095" bottom="0.78740157480314965" header="0.31496062992125984" footer="0.31496062992125984"/>
  <pageSetup paperSize="9" scale="79" fitToHeight="0" orientation="landscape" r:id="rId1"/>
  <headerFooter>
    <oddHeader>&amp;C&amp;G</oddHeader>
  </headerFooter>
  <rowBreaks count="1" manualBreakCount="1">
    <brk id="2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view="pageBreakPreview" zoomScaleNormal="100" zoomScaleSheetLayoutView="100" workbookViewId="0">
      <selection activeCell="K48" sqref="K48"/>
    </sheetView>
  </sheetViews>
  <sheetFormatPr defaultRowHeight="15" x14ac:dyDescent="0.25"/>
  <cols>
    <col min="1" max="1" width="20.7109375" style="34" customWidth="1"/>
    <col min="2" max="15" width="10.7109375" style="34" customWidth="1"/>
    <col min="16" max="16384" width="9.140625" style="34"/>
  </cols>
  <sheetData>
    <row r="1" spans="1:15" x14ac:dyDescent="0.25">
      <c r="A1" s="48" t="s">
        <v>104</v>
      </c>
    </row>
    <row r="2" spans="1:15" x14ac:dyDescent="0.25">
      <c r="A2" s="34" t="s">
        <v>157</v>
      </c>
    </row>
    <row r="4" spans="1:15" x14ac:dyDescent="0.25">
      <c r="A4" s="48" t="s">
        <v>105</v>
      </c>
    </row>
    <row r="5" spans="1:15" s="62" customFormat="1" ht="30" customHeight="1" x14ac:dyDescent="0.25">
      <c r="A5" s="36" t="s">
        <v>106</v>
      </c>
      <c r="B5" s="90" t="str">
        <f>assrotadm!A6</f>
        <v xml:space="preserve">Assistente de Rotinas Administrativas </v>
      </c>
      <c r="C5" s="91"/>
      <c r="D5" s="90" t="str">
        <f>auxadm1!A6</f>
        <v>Auxiliar Administrativo I</v>
      </c>
      <c r="E5" s="91"/>
      <c r="F5" s="90" t="str">
        <f>auxadm2!A6</f>
        <v>Auxiliar Administrativo II</v>
      </c>
      <c r="G5" s="91"/>
      <c r="H5" s="90" t="str">
        <f>auxadm3!A6</f>
        <v>Auxiliar Administrativo III</v>
      </c>
      <c r="I5" s="91"/>
      <c r="J5" s="90" t="str">
        <f>gerser!A6</f>
        <v>Gerente de Serviços</v>
      </c>
      <c r="K5" s="91"/>
      <c r="L5" s="90" t="str">
        <f>subgerser!A6</f>
        <v>Subgerente de Serviços</v>
      </c>
      <c r="M5" s="91"/>
      <c r="N5" s="90" t="str">
        <f>estat!A6</f>
        <v>Estatístico</v>
      </c>
      <c r="O5" s="91"/>
    </row>
    <row r="6" spans="1:15" x14ac:dyDescent="0.25">
      <c r="A6" s="36" t="s">
        <v>107</v>
      </c>
      <c r="B6" s="37"/>
      <c r="C6" s="38">
        <f>assrotadm!D26</f>
        <v>1691.93</v>
      </c>
      <c r="D6" s="37"/>
      <c r="E6" s="38">
        <f>auxadm1!D26</f>
        <v>1425</v>
      </c>
      <c r="F6" s="37"/>
      <c r="G6" s="38">
        <f>auxadm2!D26</f>
        <v>1566.29</v>
      </c>
      <c r="H6" s="37"/>
      <c r="I6" s="38">
        <f>auxadm3!D26</f>
        <v>2572.88</v>
      </c>
      <c r="J6" s="37"/>
      <c r="K6" s="38">
        <f>gerser!D26</f>
        <v>2326.08</v>
      </c>
      <c r="L6" s="37"/>
      <c r="M6" s="38">
        <f>subgerser!D26</f>
        <v>2286.25</v>
      </c>
      <c r="N6" s="37"/>
      <c r="O6" s="38">
        <f>estat!D26</f>
        <v>3468.2</v>
      </c>
    </row>
    <row r="7" spans="1:15" x14ac:dyDescent="0.25">
      <c r="A7" s="36" t="s">
        <v>108</v>
      </c>
      <c r="B7" s="37">
        <v>200</v>
      </c>
      <c r="C7" s="38">
        <f>ROUND(C6/B7,2)</f>
        <v>8.4600000000000009</v>
      </c>
      <c r="D7" s="37">
        <v>200</v>
      </c>
      <c r="E7" s="38">
        <f>ROUND(E6/D7,2)</f>
        <v>7.13</v>
      </c>
      <c r="F7" s="37">
        <v>200</v>
      </c>
      <c r="G7" s="38">
        <f>ROUND(G6/F7,2)</f>
        <v>7.83</v>
      </c>
      <c r="H7" s="37">
        <v>200</v>
      </c>
      <c r="I7" s="38">
        <f>ROUND(I6/H7,2)</f>
        <v>12.86</v>
      </c>
      <c r="J7" s="37">
        <v>200</v>
      </c>
      <c r="K7" s="38">
        <f>ROUND(K6/J7,2)</f>
        <v>11.63</v>
      </c>
      <c r="L7" s="37">
        <v>200</v>
      </c>
      <c r="M7" s="38">
        <f>ROUND(M6/L7,2)</f>
        <v>11.43</v>
      </c>
      <c r="N7" s="37">
        <v>200</v>
      </c>
      <c r="O7" s="38">
        <f>ROUND(O6/N7,2)</f>
        <v>17.34</v>
      </c>
    </row>
    <row r="8" spans="1:15" x14ac:dyDescent="0.25">
      <c r="A8" s="36" t="s">
        <v>109</v>
      </c>
      <c r="B8" s="39">
        <f>assrotadm!C36</f>
        <v>0.19440000000000002</v>
      </c>
      <c r="C8" s="38">
        <f>ROUND(C7*B8,2)</f>
        <v>1.64</v>
      </c>
      <c r="D8" s="39">
        <f>auxadm1!C36</f>
        <v>0.19440000000000002</v>
      </c>
      <c r="E8" s="38">
        <f>ROUND(E7*D8,2)</f>
        <v>1.39</v>
      </c>
      <c r="F8" s="39">
        <f>auxadm2!C36</f>
        <v>0.19440000000000002</v>
      </c>
      <c r="G8" s="38">
        <f>ROUND(G7*F8,2)</f>
        <v>1.52</v>
      </c>
      <c r="H8" s="39">
        <f>auxadm3!C36</f>
        <v>0.19440000000000002</v>
      </c>
      <c r="I8" s="38">
        <f>ROUND(I7*H8,2)</f>
        <v>2.5</v>
      </c>
      <c r="J8" s="39">
        <f>gerser!C36</f>
        <v>0.19440000000000002</v>
      </c>
      <c r="K8" s="38">
        <f>ROUND(K7*J8,2)</f>
        <v>2.2599999999999998</v>
      </c>
      <c r="L8" s="39">
        <f>subgerser!C36</f>
        <v>0.19440000000000002</v>
      </c>
      <c r="M8" s="38">
        <f>ROUND(M7*L8,2)</f>
        <v>2.2200000000000002</v>
      </c>
      <c r="N8" s="39">
        <f>estat!C36</f>
        <v>0.19440000000000002</v>
      </c>
      <c r="O8" s="38">
        <f>ROUND(O7*N8,2)</f>
        <v>3.37</v>
      </c>
    </row>
    <row r="9" spans="1:15" x14ac:dyDescent="0.25">
      <c r="A9" s="36" t="s">
        <v>110</v>
      </c>
      <c r="B9" s="37"/>
      <c r="C9" s="38">
        <f>SUM(C7:C8)</f>
        <v>10.100000000000001</v>
      </c>
      <c r="D9" s="37"/>
      <c r="E9" s="38">
        <f>SUM(E7:E8)</f>
        <v>8.52</v>
      </c>
      <c r="F9" s="37"/>
      <c r="G9" s="38">
        <f>SUM(G7:G8)</f>
        <v>9.35</v>
      </c>
      <c r="H9" s="37"/>
      <c r="I9" s="38">
        <f>SUM(I7:I8)</f>
        <v>15.36</v>
      </c>
      <c r="J9" s="37"/>
      <c r="K9" s="38">
        <f>SUM(K7:K8)</f>
        <v>13.89</v>
      </c>
      <c r="L9" s="37"/>
      <c r="M9" s="38">
        <f>SUM(M7:M8)</f>
        <v>13.65</v>
      </c>
      <c r="N9" s="37"/>
      <c r="O9" s="38">
        <f>SUM(O7:O8)</f>
        <v>20.71</v>
      </c>
    </row>
    <row r="10" spans="1:15" ht="30" x14ac:dyDescent="0.25">
      <c r="A10" s="36" t="s">
        <v>111</v>
      </c>
      <c r="B10" s="39">
        <f>assrotadm!C50</f>
        <v>0.36800000000000005</v>
      </c>
      <c r="C10" s="38">
        <f>ROUND(C9*B10,2)</f>
        <v>3.72</v>
      </c>
      <c r="D10" s="39">
        <f>auxadm1!C50</f>
        <v>0.36800000000000005</v>
      </c>
      <c r="E10" s="38">
        <f>ROUND(E9*D10,2)</f>
        <v>3.14</v>
      </c>
      <c r="F10" s="39">
        <f>auxadm2!C50</f>
        <v>0.36800000000000005</v>
      </c>
      <c r="G10" s="38">
        <f>ROUND(G9*F10,2)</f>
        <v>3.44</v>
      </c>
      <c r="H10" s="39">
        <f>auxadm3!C50</f>
        <v>0.36800000000000005</v>
      </c>
      <c r="I10" s="38">
        <f>ROUND(I9*H10,2)</f>
        <v>5.65</v>
      </c>
      <c r="J10" s="39">
        <f>gerser!C50</f>
        <v>0.36800000000000005</v>
      </c>
      <c r="K10" s="38">
        <f>ROUND(K9*J10,2)</f>
        <v>5.1100000000000003</v>
      </c>
      <c r="L10" s="39">
        <f>subgerser!C50</f>
        <v>0.36800000000000005</v>
      </c>
      <c r="M10" s="38">
        <f>ROUND(M9*L10,2)</f>
        <v>5.0199999999999996</v>
      </c>
      <c r="N10" s="39">
        <f>estat!C50</f>
        <v>0.36800000000000005</v>
      </c>
      <c r="O10" s="38">
        <f>ROUND(O9*N10,2)</f>
        <v>7.62</v>
      </c>
    </row>
    <row r="11" spans="1:15" x14ac:dyDescent="0.25">
      <c r="A11" s="36" t="s">
        <v>112</v>
      </c>
      <c r="B11" s="37"/>
      <c r="C11" s="38">
        <f>SUM(C9:C10)</f>
        <v>13.820000000000002</v>
      </c>
      <c r="D11" s="37"/>
      <c r="E11" s="38">
        <f>SUM(E9:E10)</f>
        <v>11.66</v>
      </c>
      <c r="F11" s="37"/>
      <c r="G11" s="38">
        <f>SUM(G9:G10)</f>
        <v>12.79</v>
      </c>
      <c r="H11" s="37"/>
      <c r="I11" s="38">
        <f>SUM(I9:I10)</f>
        <v>21.009999999999998</v>
      </c>
      <c r="J11" s="37"/>
      <c r="K11" s="38">
        <f>SUM(K9:K10)</f>
        <v>19</v>
      </c>
      <c r="L11" s="37"/>
      <c r="M11" s="38">
        <f>SUM(M9:M10)</f>
        <v>18.670000000000002</v>
      </c>
      <c r="N11" s="37"/>
      <c r="O11" s="38">
        <f>SUM(O9:O10)</f>
        <v>28.330000000000002</v>
      </c>
    </row>
    <row r="12" spans="1:15" ht="30" x14ac:dyDescent="0.25">
      <c r="A12" s="36" t="s">
        <v>125</v>
      </c>
      <c r="B12" s="39">
        <f>assrotadm!C137</f>
        <v>0.15008210180623971</v>
      </c>
      <c r="C12" s="38">
        <f>ROUND(C11*B12,2)</f>
        <v>2.0699999999999998</v>
      </c>
      <c r="D12" s="39">
        <f>auxadm1!C137</f>
        <v>0.15008210180623971</v>
      </c>
      <c r="E12" s="38">
        <f>ROUND(E11*D12,2)</f>
        <v>1.75</v>
      </c>
      <c r="F12" s="39">
        <f>auxadm2!C137</f>
        <v>0.15008210180623971</v>
      </c>
      <c r="G12" s="38">
        <f>ROUND(G11*F12,2)</f>
        <v>1.92</v>
      </c>
      <c r="H12" s="39">
        <f>auxadm3!C137</f>
        <v>0.15008210180623971</v>
      </c>
      <c r="I12" s="38">
        <f>ROUND(I11*H12,2)</f>
        <v>3.15</v>
      </c>
      <c r="J12" s="39">
        <f>gerser!C137</f>
        <v>0.15008210180623971</v>
      </c>
      <c r="K12" s="38">
        <f>ROUND(K11*J12,2)</f>
        <v>2.85</v>
      </c>
      <c r="L12" s="39">
        <f>subgerser!C137</f>
        <v>0.15008210180623971</v>
      </c>
      <c r="M12" s="38">
        <f>ROUND(M11*L12,2)</f>
        <v>2.8</v>
      </c>
      <c r="N12" s="39">
        <f>estat!C137</f>
        <v>0.15008210180623971</v>
      </c>
      <c r="O12" s="38">
        <f>ROUND(O11*N12,2)</f>
        <v>4.25</v>
      </c>
    </row>
    <row r="13" spans="1:15" x14ac:dyDescent="0.25">
      <c r="A13" s="36" t="s">
        <v>113</v>
      </c>
      <c r="B13" s="37"/>
      <c r="C13" s="38">
        <f>SUM(C11:C12)</f>
        <v>15.890000000000002</v>
      </c>
      <c r="D13" s="37"/>
      <c r="E13" s="38">
        <f>SUM(E11:E12)</f>
        <v>13.41</v>
      </c>
      <c r="F13" s="37"/>
      <c r="G13" s="38">
        <f>SUM(G11:G12)</f>
        <v>14.709999999999999</v>
      </c>
      <c r="H13" s="37"/>
      <c r="I13" s="38">
        <f>SUM(I11:I12)</f>
        <v>24.159999999999997</v>
      </c>
      <c r="J13" s="37"/>
      <c r="K13" s="38">
        <f>SUM(K11:K12)</f>
        <v>21.85</v>
      </c>
      <c r="L13" s="37"/>
      <c r="M13" s="38">
        <f>SUM(M11:M12)</f>
        <v>21.470000000000002</v>
      </c>
      <c r="N13" s="37"/>
      <c r="O13" s="38">
        <f>SUM(O11:O12)</f>
        <v>32.58</v>
      </c>
    </row>
    <row r="14" spans="1:15" ht="30" x14ac:dyDescent="0.25">
      <c r="A14" s="36" t="s">
        <v>114</v>
      </c>
      <c r="B14" s="40">
        <v>0.5</v>
      </c>
      <c r="C14" s="47">
        <f>ROUND(C13*(1+B14),2)</f>
        <v>23.84</v>
      </c>
      <c r="D14" s="40">
        <v>0.5</v>
      </c>
      <c r="E14" s="47">
        <f>ROUND(E13*(1+D14),2)</f>
        <v>20.12</v>
      </c>
      <c r="F14" s="40">
        <v>0.5</v>
      </c>
      <c r="G14" s="47">
        <f>ROUND(G13*(1+F14),2)</f>
        <v>22.07</v>
      </c>
      <c r="H14" s="40">
        <v>0.5</v>
      </c>
      <c r="I14" s="47">
        <f>ROUND(I13*(1+H14),2)</f>
        <v>36.24</v>
      </c>
      <c r="J14" s="40">
        <v>0.5</v>
      </c>
      <c r="K14" s="47">
        <f>ROUND(K13*(1+J14),2)</f>
        <v>32.78</v>
      </c>
      <c r="L14" s="40">
        <v>0.5</v>
      </c>
      <c r="M14" s="47">
        <f>ROUND(M13*(1+L14),2)</f>
        <v>32.21</v>
      </c>
      <c r="N14" s="40">
        <v>0.5</v>
      </c>
      <c r="O14" s="47">
        <f>ROUND(O13*(1+N14),2)</f>
        <v>48.87</v>
      </c>
    </row>
    <row r="15" spans="1:15" ht="30" x14ac:dyDescent="0.25">
      <c r="A15" s="36" t="s">
        <v>115</v>
      </c>
      <c r="B15" s="40">
        <v>1</v>
      </c>
      <c r="C15" s="47">
        <f>ROUND(C13*(1+B15),2)</f>
        <v>31.78</v>
      </c>
      <c r="D15" s="40">
        <v>1</v>
      </c>
      <c r="E15" s="47">
        <f>ROUND(E13*(1+D15),2)</f>
        <v>26.82</v>
      </c>
      <c r="F15" s="40">
        <v>1</v>
      </c>
      <c r="G15" s="47">
        <f>ROUND(G13*(1+F15),2)</f>
        <v>29.42</v>
      </c>
      <c r="H15" s="40">
        <v>1</v>
      </c>
      <c r="I15" s="47">
        <f>ROUND(I13*(1+H15),2)</f>
        <v>48.32</v>
      </c>
      <c r="J15" s="40">
        <v>1</v>
      </c>
      <c r="K15" s="47">
        <f>ROUND(K13*(1+J15),2)</f>
        <v>43.7</v>
      </c>
      <c r="L15" s="40">
        <v>1</v>
      </c>
      <c r="M15" s="47">
        <f>ROUND(M13*(1+L15),2)</f>
        <v>42.94</v>
      </c>
      <c r="N15" s="40">
        <v>1</v>
      </c>
      <c r="O15" s="47">
        <f>ROUND(O13*(1+N15),2)</f>
        <v>65.16</v>
      </c>
    </row>
    <row r="17" spans="1:15" x14ac:dyDescent="0.25">
      <c r="A17" s="48" t="s">
        <v>116</v>
      </c>
    </row>
    <row r="18" spans="1:15" s="62" customFormat="1" ht="30" customHeight="1" x14ac:dyDescent="0.25">
      <c r="A18" s="36" t="str">
        <f>A5</f>
        <v>posto</v>
      </c>
      <c r="B18" s="90" t="str">
        <f t="shared" ref="B18:O18" si="0">B5</f>
        <v xml:space="preserve">Assistente de Rotinas Administrativas </v>
      </c>
      <c r="C18" s="91">
        <f t="shared" si="0"/>
        <v>0</v>
      </c>
      <c r="D18" s="90" t="str">
        <f t="shared" si="0"/>
        <v>Auxiliar Administrativo I</v>
      </c>
      <c r="E18" s="91">
        <f t="shared" si="0"/>
        <v>0</v>
      </c>
      <c r="F18" s="90" t="str">
        <f t="shared" si="0"/>
        <v>Auxiliar Administrativo II</v>
      </c>
      <c r="G18" s="91">
        <f t="shared" si="0"/>
        <v>0</v>
      </c>
      <c r="H18" s="90" t="str">
        <f t="shared" si="0"/>
        <v>Auxiliar Administrativo III</v>
      </c>
      <c r="I18" s="91">
        <f t="shared" si="0"/>
        <v>0</v>
      </c>
      <c r="J18" s="90" t="str">
        <f>J5</f>
        <v>Gerente de Serviços</v>
      </c>
      <c r="K18" s="91">
        <f>K5</f>
        <v>0</v>
      </c>
      <c r="L18" s="90" t="str">
        <f t="shared" si="0"/>
        <v>Subgerente de Serviços</v>
      </c>
      <c r="M18" s="91">
        <f t="shared" si="0"/>
        <v>0</v>
      </c>
      <c r="N18" s="90" t="str">
        <f t="shared" si="0"/>
        <v>Estatístico</v>
      </c>
      <c r="O18" s="91">
        <f t="shared" si="0"/>
        <v>0</v>
      </c>
    </row>
    <row r="19" spans="1:15" x14ac:dyDescent="0.25">
      <c r="A19" s="35" t="s">
        <v>117</v>
      </c>
      <c r="B19" s="37">
        <v>3168</v>
      </c>
      <c r="C19" s="38">
        <f>B19*C14</f>
        <v>75525.119999999995</v>
      </c>
      <c r="D19" s="37">
        <v>132</v>
      </c>
      <c r="E19" s="38">
        <f>D19*E14</f>
        <v>2655.84</v>
      </c>
      <c r="F19" s="37">
        <v>726</v>
      </c>
      <c r="G19" s="38">
        <f>F19*G14</f>
        <v>16022.82</v>
      </c>
      <c r="H19" s="37">
        <v>396</v>
      </c>
      <c r="I19" s="38">
        <f>H19*I14</f>
        <v>14351.04</v>
      </c>
      <c r="J19" s="37">
        <v>132</v>
      </c>
      <c r="K19" s="38">
        <f>J19*K14</f>
        <v>4326.96</v>
      </c>
      <c r="L19" s="37">
        <v>132</v>
      </c>
      <c r="M19" s="38">
        <f>L19*M14</f>
        <v>4251.72</v>
      </c>
      <c r="N19" s="37">
        <v>132</v>
      </c>
      <c r="O19" s="38">
        <f>N19*O14</f>
        <v>6450.8399999999992</v>
      </c>
    </row>
    <row r="20" spans="1:15" x14ac:dyDescent="0.25">
      <c r="A20" s="35" t="s">
        <v>118</v>
      </c>
      <c r="B20" s="37">
        <v>36</v>
      </c>
      <c r="C20" s="38">
        <f>B20*C14</f>
        <v>858.24</v>
      </c>
      <c r="D20" s="37">
        <v>8</v>
      </c>
      <c r="E20" s="38">
        <f>D20*E14</f>
        <v>160.96</v>
      </c>
      <c r="F20" s="37">
        <v>16</v>
      </c>
      <c r="G20" s="38">
        <f>F20*G14</f>
        <v>353.12</v>
      </c>
      <c r="H20" s="37">
        <v>24</v>
      </c>
      <c r="I20" s="38">
        <f>H20*I14</f>
        <v>869.76</v>
      </c>
      <c r="J20" s="37">
        <v>8</v>
      </c>
      <c r="K20" s="38">
        <f>J20*K14</f>
        <v>262.24</v>
      </c>
      <c r="L20" s="37">
        <v>8</v>
      </c>
      <c r="M20" s="38">
        <f>L20*M14</f>
        <v>257.68</v>
      </c>
      <c r="N20" s="37">
        <v>8</v>
      </c>
      <c r="O20" s="38">
        <f>N20*O14</f>
        <v>390.96</v>
      </c>
    </row>
    <row r="21" spans="1:15" x14ac:dyDescent="0.25">
      <c r="A21" s="35" t="s">
        <v>119</v>
      </c>
      <c r="B21" s="37">
        <v>36</v>
      </c>
      <c r="C21" s="38">
        <f>B21*C15</f>
        <v>1144.08</v>
      </c>
      <c r="D21" s="37">
        <v>8</v>
      </c>
      <c r="E21" s="38">
        <f>D21*E15</f>
        <v>214.56</v>
      </c>
      <c r="F21" s="37">
        <v>16</v>
      </c>
      <c r="G21" s="38">
        <f>F21*G15</f>
        <v>470.72</v>
      </c>
      <c r="H21" s="37">
        <v>24</v>
      </c>
      <c r="I21" s="38">
        <f>H21*I15</f>
        <v>1159.68</v>
      </c>
      <c r="J21" s="37">
        <v>8</v>
      </c>
      <c r="K21" s="38">
        <f>J21*K15</f>
        <v>349.6</v>
      </c>
      <c r="L21" s="37">
        <v>8</v>
      </c>
      <c r="M21" s="38">
        <f>L21*M15</f>
        <v>343.52</v>
      </c>
      <c r="N21" s="37">
        <v>8</v>
      </c>
      <c r="O21" s="38">
        <f>N21*O15</f>
        <v>521.28</v>
      </c>
    </row>
    <row r="22" spans="1:15" x14ac:dyDescent="0.25">
      <c r="A22" s="35" t="s">
        <v>121</v>
      </c>
      <c r="B22" s="37"/>
      <c r="C22" s="38">
        <f>SUM(C19:C21)</f>
        <v>77527.44</v>
      </c>
      <c r="D22" s="37"/>
      <c r="E22" s="38">
        <f>SUM(E19:E21)</f>
        <v>3031.36</v>
      </c>
      <c r="F22" s="37"/>
      <c r="G22" s="38">
        <f>SUM(G19:G21)</f>
        <v>16846.66</v>
      </c>
      <c r="H22" s="37"/>
      <c r="I22" s="38">
        <f>SUM(I19:I21)</f>
        <v>16380.480000000001</v>
      </c>
      <c r="J22" s="37"/>
      <c r="K22" s="38">
        <f>SUM(K19:K21)</f>
        <v>4938.8</v>
      </c>
      <c r="L22" s="37"/>
      <c r="M22" s="38">
        <f>SUM(M19:M21)</f>
        <v>4852.92</v>
      </c>
      <c r="N22" s="37"/>
      <c r="O22" s="38">
        <f>SUM(O19:O21)</f>
        <v>7363.079999999999</v>
      </c>
    </row>
    <row r="24" spans="1:15" x14ac:dyDescent="0.25">
      <c r="A24" s="48" t="s">
        <v>122</v>
      </c>
    </row>
    <row r="25" spans="1:15" s="62" customFormat="1" ht="30" customHeight="1" x14ac:dyDescent="0.25">
      <c r="A25" s="36" t="str">
        <f t="shared" ref="A25:O25" si="1">A5</f>
        <v>posto</v>
      </c>
      <c r="B25" s="90" t="str">
        <f t="shared" si="1"/>
        <v xml:space="preserve">Assistente de Rotinas Administrativas </v>
      </c>
      <c r="C25" s="91">
        <f t="shared" si="1"/>
        <v>0</v>
      </c>
      <c r="D25" s="90" t="str">
        <f t="shared" si="1"/>
        <v>Auxiliar Administrativo I</v>
      </c>
      <c r="E25" s="91">
        <f t="shared" si="1"/>
        <v>0</v>
      </c>
      <c r="F25" s="90" t="str">
        <f t="shared" si="1"/>
        <v>Auxiliar Administrativo II</v>
      </c>
      <c r="G25" s="91">
        <f t="shared" si="1"/>
        <v>0</v>
      </c>
      <c r="H25" s="90" t="str">
        <f t="shared" si="1"/>
        <v>Auxiliar Administrativo III</v>
      </c>
      <c r="I25" s="91">
        <f t="shared" si="1"/>
        <v>0</v>
      </c>
      <c r="J25" s="90" t="str">
        <f t="shared" si="1"/>
        <v>Gerente de Serviços</v>
      </c>
      <c r="K25" s="91">
        <f t="shared" si="1"/>
        <v>0</v>
      </c>
      <c r="L25" s="90" t="str">
        <f t="shared" si="1"/>
        <v>Subgerente de Serviços</v>
      </c>
      <c r="M25" s="91">
        <f t="shared" si="1"/>
        <v>0</v>
      </c>
      <c r="N25" s="90" t="str">
        <f t="shared" si="1"/>
        <v>Estatístico</v>
      </c>
      <c r="O25" s="91">
        <f t="shared" si="1"/>
        <v>0</v>
      </c>
    </row>
    <row r="26" spans="1:15" x14ac:dyDescent="0.25">
      <c r="A26" s="36" t="s">
        <v>123</v>
      </c>
      <c r="B26" s="37"/>
      <c r="C26" s="38">
        <v>5.2</v>
      </c>
      <c r="D26" s="37"/>
      <c r="E26" s="38">
        <v>5.2</v>
      </c>
      <c r="F26" s="37"/>
      <c r="G26" s="38">
        <v>5.2</v>
      </c>
      <c r="H26" s="37"/>
      <c r="I26" s="38">
        <v>5.2</v>
      </c>
      <c r="J26" s="37"/>
      <c r="K26" s="38">
        <v>5.2</v>
      </c>
      <c r="L26" s="37"/>
      <c r="M26" s="38">
        <v>5.2</v>
      </c>
      <c r="N26" s="37"/>
      <c r="O26" s="38">
        <v>5.2</v>
      </c>
    </row>
    <row r="27" spans="1:15" x14ac:dyDescent="0.25">
      <c r="A27" s="36" t="s">
        <v>124</v>
      </c>
      <c r="B27" s="37">
        <v>2</v>
      </c>
      <c r="C27" s="38">
        <f>B27*C26</f>
        <v>10.4</v>
      </c>
      <c r="D27" s="37">
        <v>2</v>
      </c>
      <c r="E27" s="38">
        <f>D27*E26</f>
        <v>10.4</v>
      </c>
      <c r="F27" s="37">
        <v>2</v>
      </c>
      <c r="G27" s="38">
        <f>F27*G26</f>
        <v>10.4</v>
      </c>
      <c r="H27" s="37">
        <v>2</v>
      </c>
      <c r="I27" s="38">
        <f>H27*I26</f>
        <v>10.4</v>
      </c>
      <c r="J27" s="37">
        <v>2</v>
      </c>
      <c r="K27" s="38">
        <f>J27*K26</f>
        <v>10.4</v>
      </c>
      <c r="L27" s="37">
        <v>2</v>
      </c>
      <c r="M27" s="38">
        <f>L27*M26</f>
        <v>10.4</v>
      </c>
      <c r="N27" s="37">
        <v>2</v>
      </c>
      <c r="O27" s="38">
        <f>N27*O26</f>
        <v>10.4</v>
      </c>
    </row>
    <row r="28" spans="1:15" ht="30" x14ac:dyDescent="0.25">
      <c r="A28" s="36" t="s">
        <v>125</v>
      </c>
      <c r="B28" s="39">
        <f>B12</f>
        <v>0.15008210180623971</v>
      </c>
      <c r="C28" s="38">
        <f>ROUND(C27*B28,2)</f>
        <v>1.56</v>
      </c>
      <c r="D28" s="39">
        <f>D12</f>
        <v>0.15008210180623971</v>
      </c>
      <c r="E28" s="38">
        <f>ROUND(E27*D28,2)</f>
        <v>1.56</v>
      </c>
      <c r="F28" s="39">
        <f>F12</f>
        <v>0.15008210180623971</v>
      </c>
      <c r="G28" s="38">
        <f>ROUND(G27*F28,2)</f>
        <v>1.56</v>
      </c>
      <c r="H28" s="39">
        <f>H12</f>
        <v>0.15008210180623971</v>
      </c>
      <c r="I28" s="38">
        <f>ROUND(I27*H28,2)</f>
        <v>1.56</v>
      </c>
      <c r="J28" s="39">
        <f>J12</f>
        <v>0.15008210180623971</v>
      </c>
      <c r="K28" s="38">
        <f>ROUND(K27*J28,2)</f>
        <v>1.56</v>
      </c>
      <c r="L28" s="39">
        <f>L12</f>
        <v>0.15008210180623971</v>
      </c>
      <c r="M28" s="38">
        <f>ROUND(M27*L28,2)</f>
        <v>1.56</v>
      </c>
      <c r="N28" s="39">
        <f>N12</f>
        <v>0.15008210180623971</v>
      </c>
      <c r="O28" s="38">
        <f>ROUND(O27*N28,2)</f>
        <v>1.56</v>
      </c>
    </row>
    <row r="29" spans="1:15" ht="30" x14ac:dyDescent="0.25">
      <c r="A29" s="36" t="s">
        <v>126</v>
      </c>
      <c r="B29" s="39"/>
      <c r="C29" s="47">
        <f>SUM(C27:C28)</f>
        <v>11.96</v>
      </c>
      <c r="D29" s="39"/>
      <c r="E29" s="47">
        <f>SUM(E27:E28)</f>
        <v>11.96</v>
      </c>
      <c r="F29" s="39"/>
      <c r="G29" s="47">
        <f>SUM(G27:G28)</f>
        <v>11.96</v>
      </c>
      <c r="H29" s="39"/>
      <c r="I29" s="47">
        <f>SUM(I27:I28)</f>
        <v>11.96</v>
      </c>
      <c r="J29" s="39"/>
      <c r="K29" s="47">
        <f>SUM(K27:K28)</f>
        <v>11.96</v>
      </c>
      <c r="L29" s="39"/>
      <c r="M29" s="47">
        <f>SUM(M27:M28)</f>
        <v>11.96</v>
      </c>
      <c r="N29" s="39"/>
      <c r="O29" s="47">
        <f>SUM(O27:O28)</f>
        <v>11.96</v>
      </c>
    </row>
    <row r="30" spans="1:15" x14ac:dyDescent="0.25">
      <c r="A30" s="35" t="s">
        <v>118</v>
      </c>
      <c r="B30" s="37">
        <f>ROUNDUP((B20/8)/B33,0)</f>
        <v>1</v>
      </c>
      <c r="C30" s="38">
        <f>B30*C29</f>
        <v>11.96</v>
      </c>
      <c r="D30" s="37">
        <f>ROUNDUP((D20/8)/D33,0)</f>
        <v>1</v>
      </c>
      <c r="E30" s="38">
        <f>D30*E29</f>
        <v>11.96</v>
      </c>
      <c r="F30" s="37">
        <f>ROUNDUP((F20/8)/F33,0)</f>
        <v>1</v>
      </c>
      <c r="G30" s="38">
        <f>F30*G29</f>
        <v>11.96</v>
      </c>
      <c r="H30" s="37">
        <f>ROUNDUP((H20/8)/H33,0)</f>
        <v>1</v>
      </c>
      <c r="I30" s="38">
        <f>H30*I29</f>
        <v>11.96</v>
      </c>
      <c r="J30" s="37">
        <f>ROUNDUP((J20/8)/J33,0)</f>
        <v>1</v>
      </c>
      <c r="K30" s="38">
        <f>J30*K29</f>
        <v>11.96</v>
      </c>
      <c r="L30" s="37">
        <f>ROUNDUP((L20/8)/L33,0)</f>
        <v>1</v>
      </c>
      <c r="M30" s="38">
        <f>L30*M29</f>
        <v>11.96</v>
      </c>
      <c r="N30" s="37">
        <f>ROUNDUP((N20/8)/N33,0)</f>
        <v>1</v>
      </c>
      <c r="O30" s="38">
        <f>N30*O29</f>
        <v>11.96</v>
      </c>
    </row>
    <row r="31" spans="1:15" x14ac:dyDescent="0.25">
      <c r="A31" s="35" t="s">
        <v>119</v>
      </c>
      <c r="B31" s="37">
        <f>ROUNDUP((B21/8)/B33,0)</f>
        <v>1</v>
      </c>
      <c r="C31" s="38">
        <f>B31*C29</f>
        <v>11.96</v>
      </c>
      <c r="D31" s="37">
        <f>ROUNDUP((D21/8)/D33,0)</f>
        <v>1</v>
      </c>
      <c r="E31" s="38">
        <f>D31*E29</f>
        <v>11.96</v>
      </c>
      <c r="F31" s="37">
        <f>ROUNDUP((F21/8)/F33,0)</f>
        <v>1</v>
      </c>
      <c r="G31" s="38">
        <f>F31*G29</f>
        <v>11.96</v>
      </c>
      <c r="H31" s="37">
        <f>ROUNDUP((H21/8)/H33,0)</f>
        <v>1</v>
      </c>
      <c r="I31" s="38">
        <f>H31*I29</f>
        <v>11.96</v>
      </c>
      <c r="J31" s="37">
        <f>ROUNDUP((J21/8)/J33,0)</f>
        <v>1</v>
      </c>
      <c r="K31" s="38">
        <f>J31*K29</f>
        <v>11.96</v>
      </c>
      <c r="L31" s="37">
        <f>ROUNDUP((L21/8)/L33,0)</f>
        <v>1</v>
      </c>
      <c r="M31" s="38">
        <f>L31*M29</f>
        <v>11.96</v>
      </c>
      <c r="N31" s="37">
        <f>ROUNDUP((N21/8)/N33,0)</f>
        <v>1</v>
      </c>
      <c r="O31" s="38">
        <f>N31*O29</f>
        <v>11.96</v>
      </c>
    </row>
    <row r="32" spans="1:15" x14ac:dyDescent="0.25">
      <c r="A32" s="35" t="s">
        <v>120</v>
      </c>
      <c r="B32" s="37"/>
      <c r="C32" s="38">
        <f>SUM(C30:C31)</f>
        <v>23.92</v>
      </c>
      <c r="D32" s="37"/>
      <c r="E32" s="38">
        <f>SUM(E30:E31)</f>
        <v>23.92</v>
      </c>
      <c r="F32" s="37"/>
      <c r="G32" s="38">
        <f>SUM(G30:G31)</f>
        <v>23.92</v>
      </c>
      <c r="H32" s="37"/>
      <c r="I32" s="38">
        <f>SUM(I30:I31)</f>
        <v>23.92</v>
      </c>
      <c r="J32" s="37"/>
      <c r="K32" s="38">
        <f>SUM(K30:K31)</f>
        <v>23.92</v>
      </c>
      <c r="L32" s="37"/>
      <c r="M32" s="38">
        <f>SUM(M30:M31)</f>
        <v>23.92</v>
      </c>
      <c r="N32" s="37"/>
      <c r="O32" s="38">
        <f>SUM(O30:O31)</f>
        <v>23.92</v>
      </c>
    </row>
    <row r="33" spans="1:15" x14ac:dyDescent="0.25">
      <c r="A33" s="63" t="s">
        <v>121</v>
      </c>
      <c r="B33" s="64">
        <f>assrotadm!D6</f>
        <v>22</v>
      </c>
      <c r="C33" s="65">
        <f>B33*C32</f>
        <v>526.24</v>
      </c>
      <c r="D33" s="64">
        <f>auxadm1!D6</f>
        <v>2</v>
      </c>
      <c r="E33" s="65">
        <f>D33*E32</f>
        <v>47.84</v>
      </c>
      <c r="F33" s="64">
        <f>auxadm2!D6</f>
        <v>11</v>
      </c>
      <c r="G33" s="65">
        <f>F33*G32</f>
        <v>263.12</v>
      </c>
      <c r="H33" s="64">
        <f>auxadm3!D6</f>
        <v>3</v>
      </c>
      <c r="I33" s="65">
        <f>H33*I32</f>
        <v>71.760000000000005</v>
      </c>
      <c r="J33" s="64">
        <f>gerser!D6</f>
        <v>1</v>
      </c>
      <c r="K33" s="65">
        <f>J33*K32</f>
        <v>23.92</v>
      </c>
      <c r="L33" s="64">
        <f>subgerser!D6</f>
        <v>1</v>
      </c>
      <c r="M33" s="65">
        <f>L33*M32</f>
        <v>23.92</v>
      </c>
      <c r="N33" s="64">
        <f>estat!D6</f>
        <v>1</v>
      </c>
      <c r="O33" s="65">
        <f>N33*O32</f>
        <v>23.92</v>
      </c>
    </row>
    <row r="35" spans="1:15" x14ac:dyDescent="0.25">
      <c r="A35" s="48" t="s">
        <v>159</v>
      </c>
    </row>
    <row r="36" spans="1:15" s="62" customFormat="1" ht="30" customHeight="1" x14ac:dyDescent="0.25">
      <c r="A36" s="36" t="str">
        <f>A5</f>
        <v>posto</v>
      </c>
      <c r="B36" s="90" t="str">
        <f>B5</f>
        <v xml:space="preserve">Assistente de Rotinas Administrativas </v>
      </c>
      <c r="C36" s="91">
        <f>C16</f>
        <v>0</v>
      </c>
      <c r="D36" s="90" t="str">
        <f>D5</f>
        <v>Auxiliar Administrativo I</v>
      </c>
      <c r="E36" s="91">
        <f>E16</f>
        <v>0</v>
      </c>
      <c r="F36" s="90" t="str">
        <f>F5</f>
        <v>Auxiliar Administrativo II</v>
      </c>
      <c r="G36" s="91">
        <f>G16</f>
        <v>0</v>
      </c>
      <c r="H36" s="90" t="str">
        <f>H5</f>
        <v>Auxiliar Administrativo III</v>
      </c>
      <c r="I36" s="91">
        <f>I16</f>
        <v>0</v>
      </c>
      <c r="J36" s="90" t="str">
        <f>J5</f>
        <v>Gerente de Serviços</v>
      </c>
      <c r="K36" s="91">
        <f>K16</f>
        <v>0</v>
      </c>
      <c r="L36" s="90" t="str">
        <f>L5</f>
        <v>Subgerente de Serviços</v>
      </c>
      <c r="M36" s="91">
        <f>M16</f>
        <v>0</v>
      </c>
      <c r="N36" s="90" t="str">
        <f>N5</f>
        <v>Estatístico</v>
      </c>
      <c r="O36" s="91">
        <f>O16</f>
        <v>0</v>
      </c>
    </row>
    <row r="37" spans="1:15" x14ac:dyDescent="0.25">
      <c r="A37" s="36" t="s">
        <v>123</v>
      </c>
      <c r="B37" s="37"/>
      <c r="C37" s="38">
        <f>17*0.8</f>
        <v>13.600000000000001</v>
      </c>
      <c r="D37" s="37"/>
      <c r="E37" s="38">
        <f>17*0.8</f>
        <v>13.600000000000001</v>
      </c>
      <c r="F37" s="37"/>
      <c r="G37" s="38">
        <f>17*0.8</f>
        <v>13.600000000000001</v>
      </c>
      <c r="H37" s="37"/>
      <c r="I37" s="38">
        <f>17*0.8</f>
        <v>13.600000000000001</v>
      </c>
      <c r="J37" s="37"/>
      <c r="K37" s="38">
        <f>17*0.8</f>
        <v>13.600000000000001</v>
      </c>
      <c r="L37" s="37"/>
      <c r="M37" s="38">
        <f>17*0.8</f>
        <v>13.600000000000001</v>
      </c>
      <c r="N37" s="37"/>
      <c r="O37" s="38">
        <f>17*0.8</f>
        <v>13.600000000000001</v>
      </c>
    </row>
    <row r="38" spans="1:15" ht="30" x14ac:dyDescent="0.25">
      <c r="A38" s="36" t="s">
        <v>125</v>
      </c>
      <c r="B38" s="39">
        <f>B12</f>
        <v>0.15008210180623971</v>
      </c>
      <c r="C38" s="38">
        <f>ROUND(C37*B38,2)</f>
        <v>2.04</v>
      </c>
      <c r="D38" s="39">
        <f>D12</f>
        <v>0.15008210180623971</v>
      </c>
      <c r="E38" s="38">
        <f>ROUND(E37*D38,2)</f>
        <v>2.04</v>
      </c>
      <c r="F38" s="39">
        <f>F12</f>
        <v>0.15008210180623971</v>
      </c>
      <c r="G38" s="38">
        <f>ROUND(G37*F38,2)</f>
        <v>2.04</v>
      </c>
      <c r="H38" s="39">
        <f>H12</f>
        <v>0.15008210180623971</v>
      </c>
      <c r="I38" s="38">
        <f>ROUND(I37*H38,2)</f>
        <v>2.04</v>
      </c>
      <c r="J38" s="39">
        <f>J12</f>
        <v>0.15008210180623971</v>
      </c>
      <c r="K38" s="38">
        <f>ROUND(K37*J38,2)</f>
        <v>2.04</v>
      </c>
      <c r="L38" s="39">
        <f>L12</f>
        <v>0.15008210180623971</v>
      </c>
      <c r="M38" s="38">
        <f>ROUND(M37*L38,2)</f>
        <v>2.04</v>
      </c>
      <c r="N38" s="39">
        <f>N12</f>
        <v>0.15008210180623971</v>
      </c>
      <c r="O38" s="38">
        <f>ROUND(O37*N38,2)</f>
        <v>2.04</v>
      </c>
    </row>
    <row r="39" spans="1:15" ht="30" x14ac:dyDescent="0.25">
      <c r="A39" s="36" t="s">
        <v>160</v>
      </c>
      <c r="B39" s="39"/>
      <c r="C39" s="47">
        <f>SUM(C37:C38)</f>
        <v>15.64</v>
      </c>
      <c r="D39" s="39"/>
      <c r="E39" s="47">
        <f>SUM(E37:E38)</f>
        <v>15.64</v>
      </c>
      <c r="F39" s="39"/>
      <c r="G39" s="47">
        <f>SUM(G37:G38)</f>
        <v>15.64</v>
      </c>
      <c r="H39" s="39"/>
      <c r="I39" s="47">
        <f>SUM(I37:I38)</f>
        <v>15.64</v>
      </c>
      <c r="J39" s="39"/>
      <c r="K39" s="47">
        <f>SUM(K37:K38)</f>
        <v>15.64</v>
      </c>
      <c r="L39" s="39"/>
      <c r="M39" s="47">
        <f>SUM(M37:M38)</f>
        <v>15.64</v>
      </c>
      <c r="N39" s="39"/>
      <c r="O39" s="47">
        <f>SUM(O37:O38)</f>
        <v>15.64</v>
      </c>
    </row>
    <row r="40" spans="1:15" x14ac:dyDescent="0.25">
      <c r="A40" s="35" t="s">
        <v>118</v>
      </c>
      <c r="B40" s="37">
        <f>B30</f>
        <v>1</v>
      </c>
      <c r="C40" s="38">
        <f>B40*C39</f>
        <v>15.64</v>
      </c>
      <c r="D40" s="37">
        <f>D30</f>
        <v>1</v>
      </c>
      <c r="E40" s="38">
        <f>D40*E39</f>
        <v>15.64</v>
      </c>
      <c r="F40" s="37">
        <f>F30</f>
        <v>1</v>
      </c>
      <c r="G40" s="38">
        <f>F40*G39</f>
        <v>15.64</v>
      </c>
      <c r="H40" s="37">
        <f>H30</f>
        <v>1</v>
      </c>
      <c r="I40" s="38">
        <f>H40*I39</f>
        <v>15.64</v>
      </c>
      <c r="J40" s="37">
        <f>J30</f>
        <v>1</v>
      </c>
      <c r="K40" s="38">
        <f>J40*K39</f>
        <v>15.64</v>
      </c>
      <c r="L40" s="37">
        <f>L30</f>
        <v>1</v>
      </c>
      <c r="M40" s="38">
        <f>L40*M39</f>
        <v>15.64</v>
      </c>
      <c r="N40" s="37">
        <f>N30</f>
        <v>1</v>
      </c>
      <c r="O40" s="38">
        <f>N40*O39</f>
        <v>15.64</v>
      </c>
    </row>
    <row r="41" spans="1:15" x14ac:dyDescent="0.25">
      <c r="A41" s="35" t="s">
        <v>119</v>
      </c>
      <c r="B41" s="37">
        <f t="shared" ref="B41" si="2">B31</f>
        <v>1</v>
      </c>
      <c r="C41" s="38">
        <f>B41*C39</f>
        <v>15.64</v>
      </c>
      <c r="D41" s="37">
        <f t="shared" ref="D41:F41" si="3">D31</f>
        <v>1</v>
      </c>
      <c r="E41" s="38">
        <f>D41*E39</f>
        <v>15.64</v>
      </c>
      <c r="F41" s="37">
        <f t="shared" si="3"/>
        <v>1</v>
      </c>
      <c r="G41" s="38">
        <f>F41*G39</f>
        <v>15.64</v>
      </c>
      <c r="H41" s="37">
        <f t="shared" ref="H41:J41" si="4">H31</f>
        <v>1</v>
      </c>
      <c r="I41" s="38">
        <f>H41*I39</f>
        <v>15.64</v>
      </c>
      <c r="J41" s="37">
        <f t="shared" si="4"/>
        <v>1</v>
      </c>
      <c r="K41" s="38">
        <f>J41*K39</f>
        <v>15.64</v>
      </c>
      <c r="L41" s="37">
        <f t="shared" ref="L41:N43" si="5">L31</f>
        <v>1</v>
      </c>
      <c r="M41" s="38">
        <f>L41*M39</f>
        <v>15.64</v>
      </c>
      <c r="N41" s="37">
        <f t="shared" si="5"/>
        <v>1</v>
      </c>
      <c r="O41" s="38">
        <f>N41*O39</f>
        <v>15.64</v>
      </c>
    </row>
    <row r="42" spans="1:15" x14ac:dyDescent="0.25">
      <c r="A42" s="35" t="s">
        <v>120</v>
      </c>
      <c r="B42" s="37"/>
      <c r="C42" s="38">
        <f>SUM(C40:C41)</f>
        <v>31.28</v>
      </c>
      <c r="D42" s="37"/>
      <c r="E42" s="38">
        <f>SUM(E40:E41)</f>
        <v>31.28</v>
      </c>
      <c r="F42" s="37"/>
      <c r="G42" s="38">
        <f>SUM(G40:G41)</f>
        <v>31.28</v>
      </c>
      <c r="H42" s="37"/>
      <c r="I42" s="38">
        <f>SUM(I40:I41)</f>
        <v>31.28</v>
      </c>
      <c r="J42" s="37"/>
      <c r="K42" s="38">
        <f>SUM(K40:K41)</f>
        <v>31.28</v>
      </c>
      <c r="L42" s="37"/>
      <c r="M42" s="38">
        <f>SUM(M40:M41)</f>
        <v>31.28</v>
      </c>
      <c r="N42" s="37"/>
      <c r="O42" s="38">
        <f>SUM(O40:O41)</f>
        <v>31.28</v>
      </c>
    </row>
    <row r="43" spans="1:15" x14ac:dyDescent="0.25">
      <c r="A43" s="63" t="s">
        <v>121</v>
      </c>
      <c r="B43" s="37">
        <f t="shared" ref="B43" si="6">B33</f>
        <v>22</v>
      </c>
      <c r="C43" s="65">
        <f>B43*C42</f>
        <v>688.16000000000008</v>
      </c>
      <c r="D43" s="37">
        <f t="shared" ref="D43:F43" si="7">D33</f>
        <v>2</v>
      </c>
      <c r="E43" s="65">
        <f>D43*E42</f>
        <v>62.56</v>
      </c>
      <c r="F43" s="37">
        <f t="shared" si="7"/>
        <v>11</v>
      </c>
      <c r="G43" s="65">
        <f>F43*G42</f>
        <v>344.08000000000004</v>
      </c>
      <c r="H43" s="37">
        <f t="shared" ref="H43:J43" si="8">H33</f>
        <v>3</v>
      </c>
      <c r="I43" s="65">
        <f>H43*I42</f>
        <v>93.84</v>
      </c>
      <c r="J43" s="37">
        <f t="shared" si="8"/>
        <v>1</v>
      </c>
      <c r="K43" s="65">
        <f>J43*K42</f>
        <v>31.28</v>
      </c>
      <c r="L43" s="37">
        <f t="shared" si="5"/>
        <v>1</v>
      </c>
      <c r="M43" s="65">
        <f>L43*M42</f>
        <v>31.28</v>
      </c>
      <c r="N43" s="37">
        <f t="shared" si="5"/>
        <v>1</v>
      </c>
      <c r="O43" s="65">
        <f>N43*O42</f>
        <v>31.28</v>
      </c>
    </row>
    <row r="45" spans="1:15" x14ac:dyDescent="0.25">
      <c r="A45" s="48" t="s">
        <v>127</v>
      </c>
    </row>
    <row r="46" spans="1:15" ht="30" customHeight="1" x14ac:dyDescent="0.25">
      <c r="A46" s="36" t="str">
        <f t="shared" ref="A46:I46" si="9">A5</f>
        <v>posto</v>
      </c>
      <c r="B46" s="90" t="str">
        <f t="shared" si="9"/>
        <v xml:space="preserve">Assistente de Rotinas Administrativas </v>
      </c>
      <c r="C46" s="91">
        <f t="shared" si="9"/>
        <v>0</v>
      </c>
      <c r="D46" s="90" t="str">
        <f t="shared" si="9"/>
        <v>Auxiliar Administrativo I</v>
      </c>
      <c r="E46" s="91">
        <f t="shared" si="9"/>
        <v>0</v>
      </c>
      <c r="F46" s="90" t="str">
        <f t="shared" si="9"/>
        <v>Auxiliar Administrativo II</v>
      </c>
      <c r="G46" s="91">
        <f t="shared" si="9"/>
        <v>0</v>
      </c>
      <c r="H46" s="90" t="str">
        <f t="shared" si="9"/>
        <v>Auxiliar Administrativo III</v>
      </c>
      <c r="I46" s="91">
        <f t="shared" si="9"/>
        <v>0</v>
      </c>
      <c r="J46" s="90" t="str">
        <f>L5</f>
        <v>Subgerente de Serviços</v>
      </c>
      <c r="K46" s="91">
        <f>M5</f>
        <v>0</v>
      </c>
      <c r="L46" s="90" t="str">
        <f>J5</f>
        <v>Gerente de Serviços</v>
      </c>
      <c r="M46" s="91">
        <f>K5</f>
        <v>0</v>
      </c>
      <c r="N46" s="90" t="str">
        <f>N5</f>
        <v>Estatístico</v>
      </c>
      <c r="O46" s="91">
        <f>O5</f>
        <v>0</v>
      </c>
    </row>
    <row r="47" spans="1:15" x14ac:dyDescent="0.25">
      <c r="A47" s="63" t="s">
        <v>128</v>
      </c>
      <c r="B47" s="64"/>
      <c r="C47" s="65">
        <f>C22</f>
        <v>77527.44</v>
      </c>
      <c r="D47" s="64"/>
      <c r="E47" s="65">
        <f>E22</f>
        <v>3031.36</v>
      </c>
      <c r="F47" s="64"/>
      <c r="G47" s="65">
        <f>G22</f>
        <v>16846.66</v>
      </c>
      <c r="H47" s="64"/>
      <c r="I47" s="65">
        <f>I22</f>
        <v>16380.480000000001</v>
      </c>
      <c r="J47" s="64"/>
      <c r="K47" s="65">
        <f>K22</f>
        <v>4938.8</v>
      </c>
      <c r="L47" s="64"/>
      <c r="M47" s="65">
        <f>M22</f>
        <v>4852.92</v>
      </c>
      <c r="N47" s="64"/>
      <c r="O47" s="65">
        <f>O22</f>
        <v>7363.079999999999</v>
      </c>
    </row>
    <row r="48" spans="1:15" x14ac:dyDescent="0.25">
      <c r="A48" s="35" t="s">
        <v>129</v>
      </c>
      <c r="B48" s="37"/>
      <c r="C48" s="38">
        <f>C33</f>
        <v>526.24</v>
      </c>
      <c r="D48" s="37"/>
      <c r="E48" s="38">
        <f>E33</f>
        <v>47.84</v>
      </c>
      <c r="F48" s="37"/>
      <c r="G48" s="38">
        <f>G33</f>
        <v>263.12</v>
      </c>
      <c r="H48" s="37"/>
      <c r="I48" s="38">
        <f>I33</f>
        <v>71.760000000000005</v>
      </c>
      <c r="J48" s="37"/>
      <c r="K48" s="38">
        <f>M33</f>
        <v>23.92</v>
      </c>
      <c r="L48" s="37"/>
      <c r="M48" s="38">
        <f>K33</f>
        <v>23.92</v>
      </c>
      <c r="N48" s="37"/>
      <c r="O48" s="38">
        <f>O33</f>
        <v>23.92</v>
      </c>
    </row>
    <row r="49" spans="1:15" x14ac:dyDescent="0.25">
      <c r="A49" s="35" t="s">
        <v>161</v>
      </c>
      <c r="B49" s="37"/>
      <c r="C49" s="38">
        <f>C43</f>
        <v>688.16000000000008</v>
      </c>
      <c r="D49" s="37"/>
      <c r="E49" s="38">
        <f t="shared" ref="E49" si="10">E43</f>
        <v>62.56</v>
      </c>
      <c r="F49" s="37"/>
      <c r="G49" s="38">
        <f t="shared" ref="G49" si="11">G43</f>
        <v>344.08000000000004</v>
      </c>
      <c r="H49" s="37"/>
      <c r="I49" s="38">
        <f t="shared" ref="I49" si="12">I43</f>
        <v>93.84</v>
      </c>
      <c r="J49" s="37"/>
      <c r="K49" s="38">
        <f t="shared" ref="K49" si="13">K43</f>
        <v>31.28</v>
      </c>
      <c r="L49" s="37"/>
      <c r="M49" s="38">
        <f t="shared" ref="M49" si="14">M43</f>
        <v>31.28</v>
      </c>
      <c r="N49" s="37"/>
      <c r="O49" s="38">
        <f t="shared" ref="O49" si="15">O43</f>
        <v>31.28</v>
      </c>
    </row>
    <row r="50" spans="1:15" x14ac:dyDescent="0.25">
      <c r="A50" s="63" t="s">
        <v>121</v>
      </c>
      <c r="B50" s="64"/>
      <c r="C50" s="65">
        <f>SUM(C47:C49)</f>
        <v>78741.840000000011</v>
      </c>
      <c r="D50" s="64"/>
      <c r="E50" s="65">
        <f t="shared" ref="E50" si="16">SUM(E47:E49)</f>
        <v>3141.76</v>
      </c>
      <c r="F50" s="64"/>
      <c r="G50" s="65">
        <f t="shared" ref="G50" si="17">SUM(G47:G49)</f>
        <v>17453.86</v>
      </c>
      <c r="H50" s="64"/>
      <c r="I50" s="65">
        <f t="shared" ref="I50" si="18">SUM(I47:I49)</f>
        <v>16546.080000000002</v>
      </c>
      <c r="J50" s="64"/>
      <c r="K50" s="65">
        <f t="shared" ref="K50" si="19">SUM(K47:K49)</f>
        <v>4994</v>
      </c>
      <c r="L50" s="64"/>
      <c r="M50" s="65">
        <f t="shared" ref="M50" si="20">SUM(M47:M49)</f>
        <v>4908.12</v>
      </c>
      <c r="N50" s="64"/>
      <c r="O50" s="65">
        <f t="shared" ref="O50" si="21">SUM(O47:O49)</f>
        <v>7418.2799999999988</v>
      </c>
    </row>
    <row r="52" spans="1:15" x14ac:dyDescent="0.25">
      <c r="A52" s="48" t="s">
        <v>130</v>
      </c>
    </row>
    <row r="53" spans="1:15" ht="16.5" x14ac:dyDescent="0.25">
      <c r="A53" s="50">
        <f>SUM(B50:O50)</f>
        <v>133203.94</v>
      </c>
    </row>
  </sheetData>
  <mergeCells count="35">
    <mergeCell ref="N5:O5"/>
    <mergeCell ref="B18:C18"/>
    <mergeCell ref="D18:E18"/>
    <mergeCell ref="F18:G18"/>
    <mergeCell ref="H18:I18"/>
    <mergeCell ref="J18:K18"/>
    <mergeCell ref="L18:M18"/>
    <mergeCell ref="N18:O18"/>
    <mergeCell ref="B5:C5"/>
    <mergeCell ref="D5:E5"/>
    <mergeCell ref="F5:G5"/>
    <mergeCell ref="H5:I5"/>
    <mergeCell ref="J5:K5"/>
    <mergeCell ref="L5:M5"/>
    <mergeCell ref="N25:O25"/>
    <mergeCell ref="B36:C36"/>
    <mergeCell ref="D36:E36"/>
    <mergeCell ref="F36:G36"/>
    <mergeCell ref="H36:I36"/>
    <mergeCell ref="J36:K36"/>
    <mergeCell ref="L36:M36"/>
    <mergeCell ref="N36:O36"/>
    <mergeCell ref="B25:C25"/>
    <mergeCell ref="D25:E25"/>
    <mergeCell ref="F25:G25"/>
    <mergeCell ref="H25:I25"/>
    <mergeCell ref="J25:K25"/>
    <mergeCell ref="L25:M25"/>
    <mergeCell ref="N46:O46"/>
    <mergeCell ref="B46:C46"/>
    <mergeCell ref="D46:E46"/>
    <mergeCell ref="F46:G46"/>
    <mergeCell ref="H46:I46"/>
    <mergeCell ref="J46:K46"/>
    <mergeCell ref="L46:M46"/>
  </mergeCells>
  <pageMargins left="0.51181102362204722" right="0.51181102362204722" top="1.1023622047244095" bottom="0.78740157480314965" header="0.31496062992125984" footer="0.31496062992125984"/>
  <pageSetup paperSize="9" scale="79" fitToHeight="0" orientation="landscape" r:id="rId1"/>
  <headerFooter>
    <oddHeader>&amp;C&amp;G</oddHeader>
  </headerFooter>
  <rowBreaks count="1" manualBreakCount="1">
    <brk id="2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2</vt:i4>
      </vt:variant>
    </vt:vector>
  </HeadingPairs>
  <TitlesOfParts>
    <vt:vector size="12" baseType="lpstr">
      <vt:lpstr>assrotadm</vt:lpstr>
      <vt:lpstr>auxadm1</vt:lpstr>
      <vt:lpstr>auxadm2</vt:lpstr>
      <vt:lpstr>auxadm3</vt:lpstr>
      <vt:lpstr>gerser</vt:lpstr>
      <vt:lpstr>subgerser</vt:lpstr>
      <vt:lpstr>estat</vt:lpstr>
      <vt:lpstr>anehextra</vt:lpstr>
      <vt:lpstr>aehextra</vt:lpstr>
      <vt:lpstr>total</vt:lpstr>
      <vt:lpstr>aehextra!Titulos_de_impressao</vt:lpstr>
      <vt:lpstr>anehextra!Titulos_de_impressao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2024-10-04T12:07:26Z</cp:lastPrinted>
  <dcterms:created xsi:type="dcterms:W3CDTF">2019-01-29T18:54:26Z</dcterms:created>
  <dcterms:modified xsi:type="dcterms:W3CDTF">2024-10-04T12:09:36Z</dcterms:modified>
</cp:coreProperties>
</file>