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tabRatio="722" activeTab="12"/>
  </bookViews>
  <sheets>
    <sheet name="atend" sheetId="1" r:id="rId1"/>
    <sheet name="atendlibras" sheetId="2" r:id="rId2"/>
    <sheet name="telef" sheetId="3" r:id="rId3"/>
    <sheet name="teleflibras" sheetId="4" r:id="rId4"/>
    <sheet name="super" sheetId="5" r:id="rId5"/>
    <sheet name="auxsuper" sheetId="6" r:id="rId6"/>
    <sheet name="atendtemp" sheetId="7" r:id="rId7"/>
    <sheet name="atendlibrastemp" sheetId="8" r:id="rId8"/>
    <sheet name="auxsupertemp" sheetId="9" r:id="rId9"/>
    <sheet name="teleftemp" sheetId="10" r:id="rId10"/>
    <sheet name="teleflibrastemp" sheetId="11" r:id="rId11"/>
    <sheet name="horaextra" sheetId="12" r:id="rId12"/>
    <sheet name="total" sheetId="13" r:id="rId13"/>
  </sheets>
  <definedNames>
    <definedName name="_xlnm.Print_Titles" localSheetId="11">horaextra!$1:$2</definedName>
  </definedNames>
  <calcPr calcId="145621"/>
</workbook>
</file>

<file path=xl/calcChain.xml><?xml version="1.0" encoding="utf-8"?>
<calcChain xmlns="http://schemas.openxmlformats.org/spreadsheetml/2006/main">
  <c r="F16" i="13" l="1"/>
  <c r="F17" i="13"/>
  <c r="F18" i="13"/>
  <c r="F19" i="13"/>
  <c r="F15" i="13"/>
  <c r="D118" i="7"/>
  <c r="D118" i="8"/>
  <c r="D118" i="9"/>
  <c r="D118" i="10"/>
  <c r="D118" i="11"/>
  <c r="C31" i="13" l="1"/>
  <c r="F30" i="13"/>
  <c r="F28" i="13"/>
  <c r="C28" i="13"/>
  <c r="B24" i="13"/>
  <c r="F24" i="13"/>
  <c r="D20" i="13" l="1"/>
  <c r="D19" i="13"/>
  <c r="B19" i="13"/>
  <c r="D18" i="13"/>
  <c r="B18" i="13"/>
  <c r="D17" i="13"/>
  <c r="B17" i="13"/>
  <c r="D16" i="13"/>
  <c r="B16" i="13"/>
  <c r="D15" i="13"/>
  <c r="B15" i="13"/>
  <c r="D11" i="13"/>
  <c r="D10" i="13"/>
  <c r="C10" i="13"/>
  <c r="B10" i="13"/>
  <c r="D9" i="13"/>
  <c r="C9" i="13"/>
  <c r="B9" i="13"/>
  <c r="D8" i="13"/>
  <c r="C8" i="13"/>
  <c r="B8" i="13"/>
  <c r="D7" i="13"/>
  <c r="C7" i="13"/>
  <c r="E7" i="13" s="1"/>
  <c r="F7" i="13" s="1"/>
  <c r="B7" i="13"/>
  <c r="D6" i="13"/>
  <c r="C6" i="13"/>
  <c r="B6" i="13"/>
  <c r="C5" i="13"/>
  <c r="E5" i="13"/>
  <c r="F5" i="13" s="1"/>
  <c r="D5" i="13"/>
  <c r="B5" i="13"/>
  <c r="C37" i="12"/>
  <c r="E37" i="12"/>
  <c r="G37" i="12"/>
  <c r="I37" i="12"/>
  <c r="K37" i="12"/>
  <c r="M37" i="12"/>
  <c r="A37" i="12"/>
  <c r="M28" i="12"/>
  <c r="K28" i="12"/>
  <c r="I28" i="12"/>
  <c r="G28" i="12"/>
  <c r="E28" i="12"/>
  <c r="C28" i="12"/>
  <c r="C26" i="12"/>
  <c r="E26" i="12"/>
  <c r="G26" i="12"/>
  <c r="I26" i="12"/>
  <c r="K26" i="12"/>
  <c r="M26" i="12"/>
  <c r="A26" i="12"/>
  <c r="E10" i="13" l="1"/>
  <c r="F10" i="13" s="1"/>
  <c r="E9" i="13"/>
  <c r="F9" i="13" s="1"/>
  <c r="F11" i="13" s="1"/>
  <c r="E8" i="13"/>
  <c r="F8" i="13" s="1"/>
  <c r="E6" i="13"/>
  <c r="F6" i="13" s="1"/>
  <c r="K29" i="12"/>
  <c r="K30" i="12" s="1"/>
  <c r="K32" i="12" s="1"/>
  <c r="M29" i="12"/>
  <c r="M30" i="12" s="1"/>
  <c r="L23" i="12"/>
  <c r="L34" i="12" s="1"/>
  <c r="J23" i="12"/>
  <c r="J34" i="12" s="1"/>
  <c r="H23" i="12"/>
  <c r="H34" i="12" s="1"/>
  <c r="F23" i="12"/>
  <c r="F34" i="12" s="1"/>
  <c r="D23" i="12"/>
  <c r="D34" i="12" s="1"/>
  <c r="B23" i="12"/>
  <c r="B34" i="12" s="1"/>
  <c r="C18" i="12"/>
  <c r="E18" i="12"/>
  <c r="G18" i="12"/>
  <c r="I18" i="12"/>
  <c r="K18" i="12"/>
  <c r="M18" i="12"/>
  <c r="A18" i="12"/>
  <c r="L12" i="12"/>
  <c r="L29" i="12" s="1"/>
  <c r="L10" i="12"/>
  <c r="L8" i="12"/>
  <c r="M6" i="12"/>
  <c r="M7" i="12" s="1"/>
  <c r="L5" i="12"/>
  <c r="J12" i="12"/>
  <c r="J29" i="12" s="1"/>
  <c r="J10" i="12"/>
  <c r="J8" i="12"/>
  <c r="K6" i="12"/>
  <c r="K7" i="12" s="1"/>
  <c r="J5" i="12"/>
  <c r="H12" i="12"/>
  <c r="H29" i="12" s="1"/>
  <c r="I29" i="12" s="1"/>
  <c r="I30" i="12" s="1"/>
  <c r="H10" i="12"/>
  <c r="H8" i="12"/>
  <c r="I6" i="12"/>
  <c r="I7" i="12" s="1"/>
  <c r="H5" i="12"/>
  <c r="F12" i="12"/>
  <c r="F29" i="12" s="1"/>
  <c r="G29" i="12" s="1"/>
  <c r="G30" i="12" s="1"/>
  <c r="F10" i="12"/>
  <c r="F8" i="12"/>
  <c r="G6" i="12"/>
  <c r="G7" i="12" s="1"/>
  <c r="F5" i="12"/>
  <c r="D12" i="12"/>
  <c r="D29" i="12" s="1"/>
  <c r="E29" i="12" s="1"/>
  <c r="E30" i="12" s="1"/>
  <c r="D10" i="12"/>
  <c r="D8" i="12"/>
  <c r="D5" i="12"/>
  <c r="B12" i="12"/>
  <c r="B29" i="12" s="1"/>
  <c r="C29" i="12" s="1"/>
  <c r="C30" i="12" s="1"/>
  <c r="B10" i="12"/>
  <c r="B8" i="12"/>
  <c r="B5" i="12"/>
  <c r="C95" i="11"/>
  <c r="C94" i="11"/>
  <c r="C93" i="11"/>
  <c r="C92" i="11"/>
  <c r="C91" i="11"/>
  <c r="C81" i="11"/>
  <c r="D81" i="11" s="1"/>
  <c r="C80" i="11"/>
  <c r="D79" i="11"/>
  <c r="D80" i="11" s="1"/>
  <c r="C79" i="11"/>
  <c r="C78" i="11"/>
  <c r="D78" i="11" s="1"/>
  <c r="C76" i="11"/>
  <c r="D76" i="11" s="1"/>
  <c r="C130" i="11"/>
  <c r="C137" i="11" s="1"/>
  <c r="D122" i="11"/>
  <c r="D147" i="11" s="1"/>
  <c r="D69" i="11"/>
  <c r="D61" i="11"/>
  <c r="D56" i="11"/>
  <c r="C50" i="11"/>
  <c r="C35" i="11"/>
  <c r="C34" i="11"/>
  <c r="C36" i="11" s="1"/>
  <c r="D26" i="11"/>
  <c r="C95" i="10"/>
  <c r="C94" i="10"/>
  <c r="C93" i="10"/>
  <c r="C92" i="10"/>
  <c r="C91" i="10"/>
  <c r="D81" i="10"/>
  <c r="C81" i="10"/>
  <c r="C80" i="10"/>
  <c r="C79" i="10"/>
  <c r="D79" i="10" s="1"/>
  <c r="D80" i="10" s="1"/>
  <c r="D78" i="10"/>
  <c r="C78" i="10"/>
  <c r="D76" i="10"/>
  <c r="D77" i="10" s="1"/>
  <c r="C76" i="10"/>
  <c r="D143" i="10"/>
  <c r="C130" i="10"/>
  <c r="C137" i="10" s="1"/>
  <c r="D122" i="10"/>
  <c r="D147" i="10" s="1"/>
  <c r="D56" i="10"/>
  <c r="D61" i="10" s="1"/>
  <c r="D69" i="10" s="1"/>
  <c r="C50" i="10"/>
  <c r="C36" i="10"/>
  <c r="D35" i="10"/>
  <c r="C35" i="10"/>
  <c r="C34" i="10"/>
  <c r="D26" i="10"/>
  <c r="C95" i="9"/>
  <c r="C94" i="9"/>
  <c r="C93" i="9"/>
  <c r="C92" i="9"/>
  <c r="C91" i="9"/>
  <c r="C81" i="9"/>
  <c r="D81" i="9" s="1"/>
  <c r="C80" i="9"/>
  <c r="D79" i="9"/>
  <c r="D80" i="9" s="1"/>
  <c r="C79" i="9"/>
  <c r="C78" i="9"/>
  <c r="D78" i="9" s="1"/>
  <c r="C76" i="9"/>
  <c r="D76" i="9" s="1"/>
  <c r="C130" i="9"/>
  <c r="C137" i="9" s="1"/>
  <c r="D122" i="9"/>
  <c r="D147" i="9" s="1"/>
  <c r="D61" i="9"/>
  <c r="D69" i="9" s="1"/>
  <c r="D57" i="9"/>
  <c r="D56" i="9"/>
  <c r="C50" i="9"/>
  <c r="C35" i="9"/>
  <c r="C34" i="9"/>
  <c r="C36" i="9" s="1"/>
  <c r="D26" i="9"/>
  <c r="D143" i="9" s="1"/>
  <c r="C95" i="8"/>
  <c r="C94" i="8"/>
  <c r="C93" i="8"/>
  <c r="C92" i="8"/>
  <c r="C91" i="8"/>
  <c r="C81" i="8"/>
  <c r="C80" i="8"/>
  <c r="C79" i="8"/>
  <c r="C78" i="8"/>
  <c r="C76" i="8"/>
  <c r="C137" i="8"/>
  <c r="C130" i="8"/>
  <c r="D122" i="8"/>
  <c r="D147" i="8" s="1"/>
  <c r="D57" i="8"/>
  <c r="D56" i="8"/>
  <c r="D61" i="8" s="1"/>
  <c r="D69" i="8" s="1"/>
  <c r="C50" i="8"/>
  <c r="C35" i="8"/>
  <c r="C36" i="8" s="1"/>
  <c r="C34" i="8"/>
  <c r="D26" i="8"/>
  <c r="D79" i="8" s="1"/>
  <c r="D80" i="8" s="1"/>
  <c r="C95" i="7"/>
  <c r="C94" i="7"/>
  <c r="C93" i="7"/>
  <c r="C91" i="7"/>
  <c r="C81" i="7"/>
  <c r="D81" i="7" s="1"/>
  <c r="C79" i="7"/>
  <c r="C78" i="7"/>
  <c r="C76" i="7"/>
  <c r="D147" i="7"/>
  <c r="C130" i="7"/>
  <c r="C137" i="7" s="1"/>
  <c r="D122" i="7"/>
  <c r="C92" i="7"/>
  <c r="D57" i="7"/>
  <c r="D56" i="7"/>
  <c r="D61" i="7" s="1"/>
  <c r="D69" i="7" s="1"/>
  <c r="C50" i="7"/>
  <c r="C80" i="7" s="1"/>
  <c r="C35" i="7"/>
  <c r="C36" i="7" s="1"/>
  <c r="C34" i="7"/>
  <c r="D26" i="7"/>
  <c r="D35" i="7" s="1"/>
  <c r="D150" i="3"/>
  <c r="D150" i="4"/>
  <c r="D150" i="5"/>
  <c r="D150" i="6"/>
  <c r="E11" i="13" l="1"/>
  <c r="E32" i="12"/>
  <c r="E31" i="12"/>
  <c r="E33" i="12" s="1"/>
  <c r="E34" i="12" s="1"/>
  <c r="E39" i="12" s="1"/>
  <c r="L26" i="12"/>
  <c r="L37" i="12"/>
  <c r="H26" i="12"/>
  <c r="H37" i="12"/>
  <c r="K31" i="12"/>
  <c r="D26" i="12"/>
  <c r="D37" i="12"/>
  <c r="B26" i="12"/>
  <c r="B37" i="12"/>
  <c r="J26" i="12"/>
  <c r="J37" i="12"/>
  <c r="F26" i="12"/>
  <c r="F37" i="12"/>
  <c r="K33" i="12"/>
  <c r="K34" i="12" s="1"/>
  <c r="K39" i="12" s="1"/>
  <c r="C32" i="12"/>
  <c r="C31" i="12"/>
  <c r="C33" i="12" s="1"/>
  <c r="C34" i="12" s="1"/>
  <c r="C39" i="12" s="1"/>
  <c r="M32" i="12"/>
  <c r="M31" i="12"/>
  <c r="I32" i="12"/>
  <c r="I31" i="12"/>
  <c r="G32" i="12"/>
  <c r="G31" i="12"/>
  <c r="G33" i="12" s="1"/>
  <c r="G34" i="12" s="1"/>
  <c r="G39" i="12" s="1"/>
  <c r="J18" i="12"/>
  <c r="D81" i="8"/>
  <c r="D78" i="8"/>
  <c r="D76" i="8"/>
  <c r="D77" i="8" s="1"/>
  <c r="D82" i="8" s="1"/>
  <c r="D78" i="7"/>
  <c r="D34" i="7"/>
  <c r="D36" i="7" s="1"/>
  <c r="D49" i="7" s="1"/>
  <c r="D18" i="12"/>
  <c r="H18" i="12"/>
  <c r="B18" i="12"/>
  <c r="L18" i="12"/>
  <c r="F18" i="12"/>
  <c r="M8" i="12"/>
  <c r="M9" i="12" s="1"/>
  <c r="K8" i="12"/>
  <c r="K9" i="12" s="1"/>
  <c r="I8" i="12"/>
  <c r="I9" i="12" s="1"/>
  <c r="G8" i="12"/>
  <c r="G9" i="12" s="1"/>
  <c r="D77" i="11"/>
  <c r="D82" i="11" s="1"/>
  <c r="D34" i="11"/>
  <c r="D36" i="11" s="1"/>
  <c r="D45" i="11" s="1"/>
  <c r="D35" i="11"/>
  <c r="D143" i="11"/>
  <c r="D82" i="10"/>
  <c r="D34" i="10"/>
  <c r="D36" i="10" s="1"/>
  <c r="D43" i="10"/>
  <c r="D77" i="9"/>
  <c r="D82" i="9"/>
  <c r="D34" i="9"/>
  <c r="D36" i="9" s="1"/>
  <c r="D47" i="9" s="1"/>
  <c r="D35" i="9"/>
  <c r="D35" i="8"/>
  <c r="D143" i="8"/>
  <c r="D34" i="8"/>
  <c r="D36" i="8" s="1"/>
  <c r="D47" i="8" s="1"/>
  <c r="D43" i="7"/>
  <c r="D46" i="7"/>
  <c r="D45" i="7"/>
  <c r="D67" i="7"/>
  <c r="D44" i="7"/>
  <c r="D47" i="7"/>
  <c r="D79" i="7"/>
  <c r="D80" i="7" s="1"/>
  <c r="D143" i="7"/>
  <c r="D42" i="7"/>
  <c r="D48" i="7"/>
  <c r="D76" i="7"/>
  <c r="D147" i="6"/>
  <c r="C130" i="6"/>
  <c r="C137" i="6" s="1"/>
  <c r="D122" i="6"/>
  <c r="C95" i="6"/>
  <c r="C94" i="6"/>
  <c r="C93" i="6"/>
  <c r="C92" i="6"/>
  <c r="C91" i="6"/>
  <c r="C81" i="6"/>
  <c r="C79" i="6"/>
  <c r="C78" i="6"/>
  <c r="C76" i="6"/>
  <c r="D57" i="6"/>
  <c r="D56" i="6"/>
  <c r="D61" i="6" s="1"/>
  <c r="D69" i="6" s="1"/>
  <c r="C50" i="6"/>
  <c r="C80" i="6" s="1"/>
  <c r="C35" i="6"/>
  <c r="C36" i="6" s="1"/>
  <c r="C34" i="6"/>
  <c r="D26" i="6"/>
  <c r="D34" i="6" s="1"/>
  <c r="D147" i="5"/>
  <c r="C130" i="5"/>
  <c r="C137" i="5" s="1"/>
  <c r="D122" i="5"/>
  <c r="C95" i="5"/>
  <c r="C94" i="5"/>
  <c r="C93" i="5"/>
  <c r="C92" i="5"/>
  <c r="C91" i="5"/>
  <c r="C81" i="5"/>
  <c r="C80" i="5"/>
  <c r="C79" i="5"/>
  <c r="C78" i="5"/>
  <c r="C76" i="5"/>
  <c r="D57" i="5"/>
  <c r="D56" i="5"/>
  <c r="D61" i="5" s="1"/>
  <c r="D69" i="5" s="1"/>
  <c r="C50" i="5"/>
  <c r="C35" i="5"/>
  <c r="C34" i="5"/>
  <c r="C36" i="5" s="1"/>
  <c r="D26" i="5"/>
  <c r="D143" i="5" s="1"/>
  <c r="D147" i="4"/>
  <c r="C137" i="4"/>
  <c r="C130" i="4"/>
  <c r="D122" i="4"/>
  <c r="C95" i="4"/>
  <c r="C94" i="4"/>
  <c r="C93" i="4"/>
  <c r="C92" i="4"/>
  <c r="C91" i="4"/>
  <c r="C81" i="4"/>
  <c r="C79" i="4"/>
  <c r="D78" i="4"/>
  <c r="C78" i="4"/>
  <c r="C76" i="4"/>
  <c r="D56" i="4"/>
  <c r="C50" i="4"/>
  <c r="C80" i="4" s="1"/>
  <c r="D35" i="4"/>
  <c r="C35" i="4"/>
  <c r="C34" i="4"/>
  <c r="C36" i="4" s="1"/>
  <c r="D26" i="4"/>
  <c r="D81" i="4" s="1"/>
  <c r="D122" i="1"/>
  <c r="D122" i="2"/>
  <c r="D122" i="3"/>
  <c r="D147" i="3"/>
  <c r="C130" i="3"/>
  <c r="C137" i="3" s="1"/>
  <c r="C95" i="3"/>
  <c r="C94" i="3"/>
  <c r="C93" i="3"/>
  <c r="C92" i="3"/>
  <c r="C91" i="3"/>
  <c r="C81" i="3"/>
  <c r="C79" i="3"/>
  <c r="C78" i="3"/>
  <c r="C76" i="3"/>
  <c r="D61" i="3"/>
  <c r="D69" i="3" s="1"/>
  <c r="D56" i="3"/>
  <c r="C50" i="3"/>
  <c r="C80" i="3" s="1"/>
  <c r="C35" i="3"/>
  <c r="C34" i="3"/>
  <c r="C36" i="3" s="1"/>
  <c r="D26" i="3"/>
  <c r="D147" i="2"/>
  <c r="C130" i="2"/>
  <c r="C137" i="2" s="1"/>
  <c r="C95" i="2"/>
  <c r="C94" i="2"/>
  <c r="C93" i="2"/>
  <c r="C92" i="2"/>
  <c r="C91" i="2"/>
  <c r="C81" i="2"/>
  <c r="C79" i="2"/>
  <c r="C78" i="2"/>
  <c r="C76" i="2"/>
  <c r="D57" i="2"/>
  <c r="D56" i="2"/>
  <c r="D61" i="2" s="1"/>
  <c r="D69" i="2" s="1"/>
  <c r="C50" i="2"/>
  <c r="C80" i="2" s="1"/>
  <c r="C35" i="2"/>
  <c r="C36" i="2" s="1"/>
  <c r="C34" i="2"/>
  <c r="D26" i="2"/>
  <c r="D57" i="1"/>
  <c r="I33" i="12" l="1"/>
  <c r="I34" i="12" s="1"/>
  <c r="I39" i="12" s="1"/>
  <c r="M33" i="12"/>
  <c r="M34" i="12" s="1"/>
  <c r="M39" i="12" s="1"/>
  <c r="D143" i="2"/>
  <c r="E6" i="12"/>
  <c r="E7" i="12" s="1"/>
  <c r="E8" i="12" s="1"/>
  <c r="E9" i="12" s="1"/>
  <c r="D43" i="8"/>
  <c r="M10" i="12"/>
  <c r="M11" i="12" s="1"/>
  <c r="K10" i="12"/>
  <c r="K11" i="12" s="1"/>
  <c r="I10" i="12"/>
  <c r="I11" i="12" s="1"/>
  <c r="G10" i="12"/>
  <c r="G11" i="12" s="1"/>
  <c r="E10" i="12"/>
  <c r="E11" i="12" s="1"/>
  <c r="D93" i="11"/>
  <c r="D96" i="11"/>
  <c r="D95" i="11"/>
  <c r="D92" i="11"/>
  <c r="D94" i="11"/>
  <c r="D91" i="11"/>
  <c r="D47" i="11"/>
  <c r="D44" i="11"/>
  <c r="D67" i="11"/>
  <c r="D48" i="11"/>
  <c r="D42" i="11"/>
  <c r="D46" i="11"/>
  <c r="D49" i="11"/>
  <c r="D145" i="11"/>
  <c r="D43" i="11"/>
  <c r="D95" i="10"/>
  <c r="D92" i="10"/>
  <c r="D94" i="10"/>
  <c r="D91" i="10"/>
  <c r="D96" i="10"/>
  <c r="D93" i="10"/>
  <c r="D46" i="10"/>
  <c r="D45" i="10"/>
  <c r="D67" i="10"/>
  <c r="D47" i="10"/>
  <c r="D44" i="10"/>
  <c r="D42" i="10"/>
  <c r="D145" i="10"/>
  <c r="D49" i="10"/>
  <c r="D48" i="10"/>
  <c r="D94" i="9"/>
  <c r="D91" i="9"/>
  <c r="D93" i="9"/>
  <c r="D96" i="9"/>
  <c r="D95" i="9"/>
  <c r="D92" i="9"/>
  <c r="D145" i="9"/>
  <c r="D46" i="9"/>
  <c r="D67" i="9"/>
  <c r="D43" i="9"/>
  <c r="D44" i="9"/>
  <c r="D49" i="9"/>
  <c r="D48" i="9"/>
  <c r="D42" i="9"/>
  <c r="D50" i="9" s="1"/>
  <c r="D68" i="9" s="1"/>
  <c r="D45" i="9"/>
  <c r="D48" i="8"/>
  <c r="D46" i="8"/>
  <c r="D45" i="8"/>
  <c r="D44" i="8"/>
  <c r="D67" i="8"/>
  <c r="D42" i="8"/>
  <c r="D145" i="8"/>
  <c r="D49" i="8"/>
  <c r="D50" i="7"/>
  <c r="D68" i="7" s="1"/>
  <c r="D70" i="7" s="1"/>
  <c r="D77" i="7"/>
  <c r="D82" i="7" s="1"/>
  <c r="D145" i="7" s="1"/>
  <c r="D35" i="6"/>
  <c r="D36" i="6" s="1"/>
  <c r="D78" i="6"/>
  <c r="D81" i="6"/>
  <c r="D79" i="6"/>
  <c r="D80" i="6" s="1"/>
  <c r="D143" i="6"/>
  <c r="D76" i="6"/>
  <c r="D35" i="5"/>
  <c r="D81" i="5"/>
  <c r="D78" i="5"/>
  <c r="D76" i="5"/>
  <c r="D77" i="5" s="1"/>
  <c r="D82" i="5" s="1"/>
  <c r="D145" i="5" s="1"/>
  <c r="D34" i="5"/>
  <c r="D79" i="5"/>
  <c r="D80" i="5" s="1"/>
  <c r="D61" i="4"/>
  <c r="D69" i="4" s="1"/>
  <c r="D34" i="4"/>
  <c r="D36" i="4" s="1"/>
  <c r="D43" i="4" s="1"/>
  <c r="D143" i="4"/>
  <c r="D79" i="4"/>
  <c r="D80" i="4" s="1"/>
  <c r="D42" i="4"/>
  <c r="D76" i="4"/>
  <c r="D35" i="3"/>
  <c r="D76" i="3"/>
  <c r="D34" i="3"/>
  <c r="D36" i="3" s="1"/>
  <c r="D48" i="3" s="1"/>
  <c r="D78" i="3"/>
  <c r="D81" i="3"/>
  <c r="D143" i="3"/>
  <c r="D79" i="3"/>
  <c r="D80" i="3" s="1"/>
  <c r="D78" i="2"/>
  <c r="D81" i="2"/>
  <c r="D35" i="2"/>
  <c r="D79" i="2"/>
  <c r="D80" i="2" s="1"/>
  <c r="D76" i="2"/>
  <c r="D34" i="2"/>
  <c r="D56" i="1"/>
  <c r="M12" i="12" l="1"/>
  <c r="M13" i="12" s="1"/>
  <c r="K12" i="12"/>
  <c r="K13" i="12" s="1"/>
  <c r="I12" i="12"/>
  <c r="I13" i="12" s="1"/>
  <c r="G12" i="12"/>
  <c r="G13" i="12" s="1"/>
  <c r="E12" i="12"/>
  <c r="E13" i="12" s="1"/>
  <c r="D50" i="11"/>
  <c r="D68" i="11" s="1"/>
  <c r="D70" i="11"/>
  <c r="D50" i="10"/>
  <c r="D68" i="10" s="1"/>
  <c r="D70" i="10"/>
  <c r="D70" i="9"/>
  <c r="D50" i="8"/>
  <c r="D68" i="8" s="1"/>
  <c r="D70" i="8" s="1"/>
  <c r="D144" i="7"/>
  <c r="D93" i="7"/>
  <c r="D96" i="7"/>
  <c r="D95" i="7"/>
  <c r="D92" i="7"/>
  <c r="D91" i="7"/>
  <c r="D103" i="7"/>
  <c r="D104" i="7" s="1"/>
  <c r="D111" i="7" s="1"/>
  <c r="D94" i="7"/>
  <c r="D67" i="6"/>
  <c r="D43" i="6"/>
  <c r="D49" i="6"/>
  <c r="D44" i="6"/>
  <c r="D48" i="6"/>
  <c r="D47" i="6"/>
  <c r="D46" i="6"/>
  <c r="D42" i="6"/>
  <c r="D45" i="6"/>
  <c r="D77" i="6"/>
  <c r="D82" i="6" s="1"/>
  <c r="D145" i="6" s="1"/>
  <c r="D36" i="5"/>
  <c r="D47" i="5" s="1"/>
  <c r="D42" i="5"/>
  <c r="D43" i="5"/>
  <c r="D46" i="5"/>
  <c r="D46" i="4"/>
  <c r="D49" i="4"/>
  <c r="D48" i="4"/>
  <c r="D77" i="4"/>
  <c r="D82" i="4" s="1"/>
  <c r="D145" i="4" s="1"/>
  <c r="D45" i="4"/>
  <c r="D67" i="4"/>
  <c r="D47" i="4"/>
  <c r="D44" i="4"/>
  <c r="D47" i="3"/>
  <c r="D45" i="3"/>
  <c r="D67" i="3"/>
  <c r="D49" i="3"/>
  <c r="D43" i="3"/>
  <c r="D77" i="3"/>
  <c r="D82" i="3" s="1"/>
  <c r="D145" i="3" s="1"/>
  <c r="D46" i="3"/>
  <c r="D44" i="3"/>
  <c r="D42" i="3"/>
  <c r="D77" i="2"/>
  <c r="D82" i="2" s="1"/>
  <c r="D145" i="2" s="1"/>
  <c r="D36" i="2"/>
  <c r="C81" i="1"/>
  <c r="C78" i="1"/>
  <c r="D94" i="8" l="1"/>
  <c r="D91" i="8"/>
  <c r="D92" i="8"/>
  <c r="D93" i="8"/>
  <c r="D96" i="8"/>
  <c r="D95" i="8"/>
  <c r="M15" i="12"/>
  <c r="M21" i="12" s="1"/>
  <c r="M14" i="12"/>
  <c r="K15" i="12"/>
  <c r="K21" i="12" s="1"/>
  <c r="K14" i="12"/>
  <c r="I15" i="12"/>
  <c r="I21" i="12" s="1"/>
  <c r="I14" i="12"/>
  <c r="G14" i="12"/>
  <c r="G15" i="12"/>
  <c r="G21" i="12" s="1"/>
  <c r="E14" i="12"/>
  <c r="E15" i="12"/>
  <c r="E21" i="12" s="1"/>
  <c r="D144" i="11"/>
  <c r="D103" i="11"/>
  <c r="D104" i="11" s="1"/>
  <c r="D111" i="11" s="1"/>
  <c r="D144" i="10"/>
  <c r="D103" i="10"/>
  <c r="D104" i="10" s="1"/>
  <c r="D111" i="10" s="1"/>
  <c r="D144" i="9"/>
  <c r="D103" i="9"/>
  <c r="D104" i="9" s="1"/>
  <c r="D111" i="9" s="1"/>
  <c r="D144" i="8"/>
  <c r="D103" i="8"/>
  <c r="D104" i="8" s="1"/>
  <c r="D111" i="8" s="1"/>
  <c r="D97" i="7"/>
  <c r="D110" i="7" s="1"/>
  <c r="D112" i="7" s="1"/>
  <c r="D146" i="7" s="1"/>
  <c r="D148" i="7" s="1"/>
  <c r="D50" i="6"/>
  <c r="D68" i="6" s="1"/>
  <c r="D70" i="6" s="1"/>
  <c r="D67" i="5"/>
  <c r="D48" i="5"/>
  <c r="D44" i="5"/>
  <c r="D49" i="5"/>
  <c r="D50" i="5" s="1"/>
  <c r="D68" i="5" s="1"/>
  <c r="D70" i="5" s="1"/>
  <c r="D45" i="5"/>
  <c r="D50" i="4"/>
  <c r="D68" i="4" s="1"/>
  <c r="D70" i="4"/>
  <c r="D50" i="3"/>
  <c r="D68" i="3" s="1"/>
  <c r="D70" i="3"/>
  <c r="D45" i="2"/>
  <c r="D44" i="2"/>
  <c r="D67" i="2"/>
  <c r="D47" i="2"/>
  <c r="D42" i="2"/>
  <c r="D43" i="2"/>
  <c r="D46" i="2"/>
  <c r="D48" i="2"/>
  <c r="D49" i="2"/>
  <c r="C130" i="1"/>
  <c r="C137" i="1"/>
  <c r="C95" i="1"/>
  <c r="C94" i="1"/>
  <c r="C93" i="1"/>
  <c r="C92" i="1"/>
  <c r="C91" i="1"/>
  <c r="C79" i="1"/>
  <c r="C76" i="1"/>
  <c r="C35" i="1"/>
  <c r="C34" i="1"/>
  <c r="C36" i="1" s="1"/>
  <c r="G20" i="12" l="1"/>
  <c r="G19" i="12"/>
  <c r="G22" i="12" s="1"/>
  <c r="G23" i="12" s="1"/>
  <c r="G38" i="12" s="1"/>
  <c r="G40" i="12" s="1"/>
  <c r="K20" i="12"/>
  <c r="K19" i="12"/>
  <c r="K22" i="12" s="1"/>
  <c r="K23" i="12" s="1"/>
  <c r="K38" i="12" s="1"/>
  <c r="K40" i="12" s="1"/>
  <c r="E20" i="12"/>
  <c r="E19" i="12"/>
  <c r="M20" i="12"/>
  <c r="M19" i="12"/>
  <c r="M22" i="12" s="1"/>
  <c r="M23" i="12" s="1"/>
  <c r="M38" i="12" s="1"/>
  <c r="M40" i="12" s="1"/>
  <c r="I20" i="12"/>
  <c r="I19" i="12"/>
  <c r="I22" i="12" s="1"/>
  <c r="I23" i="12" s="1"/>
  <c r="I38" i="12" s="1"/>
  <c r="I40" i="12" s="1"/>
  <c r="D97" i="11"/>
  <c r="D110" i="11" s="1"/>
  <c r="D112" i="11" s="1"/>
  <c r="D146" i="11" s="1"/>
  <c r="D148" i="11"/>
  <c r="D97" i="10"/>
  <c r="D110" i="10" s="1"/>
  <c r="D112" i="10" s="1"/>
  <c r="D146" i="10" s="1"/>
  <c r="D148" i="10"/>
  <c r="D97" i="9"/>
  <c r="D110" i="9" s="1"/>
  <c r="D112" i="9" s="1"/>
  <c r="D146" i="9" s="1"/>
  <c r="D148" i="9" s="1"/>
  <c r="D97" i="8"/>
  <c r="D110" i="8" s="1"/>
  <c r="D112" i="8" s="1"/>
  <c r="D146" i="8" s="1"/>
  <c r="D148" i="8"/>
  <c r="D128" i="7"/>
  <c r="D144" i="6"/>
  <c r="D103" i="6"/>
  <c r="D104" i="6" s="1"/>
  <c r="D111" i="6" s="1"/>
  <c r="D92" i="6"/>
  <c r="D93" i="6"/>
  <c r="D96" i="6"/>
  <c r="D91" i="6"/>
  <c r="D95" i="6"/>
  <c r="D94" i="6"/>
  <c r="D144" i="5"/>
  <c r="D94" i="5"/>
  <c r="D96" i="5"/>
  <c r="D91" i="5"/>
  <c r="D95" i="5"/>
  <c r="D93" i="5"/>
  <c r="D92" i="5"/>
  <c r="D103" i="5"/>
  <c r="D104" i="5" s="1"/>
  <c r="D111" i="5" s="1"/>
  <c r="D144" i="4"/>
  <c r="D94" i="4"/>
  <c r="D103" i="4"/>
  <c r="D104" i="4" s="1"/>
  <c r="D111" i="4" s="1"/>
  <c r="D92" i="4"/>
  <c r="D95" i="4"/>
  <c r="D93" i="4"/>
  <c r="D96" i="4"/>
  <c r="D91" i="4"/>
  <c r="D144" i="3"/>
  <c r="D92" i="3"/>
  <c r="D93" i="3"/>
  <c r="D91" i="3"/>
  <c r="D103" i="3"/>
  <c r="D104" i="3" s="1"/>
  <c r="D111" i="3" s="1"/>
  <c r="D95" i="3"/>
  <c r="D94" i="3"/>
  <c r="D96" i="3"/>
  <c r="D50" i="2"/>
  <c r="D68" i="2" s="1"/>
  <c r="D70" i="2" s="1"/>
  <c r="D147" i="1"/>
  <c r="D61" i="1"/>
  <c r="D69" i="1" s="1"/>
  <c r="C50" i="1"/>
  <c r="C80" i="1" s="1"/>
  <c r="D26" i="1"/>
  <c r="C6" i="12" l="1"/>
  <c r="C7" i="12" s="1"/>
  <c r="E22" i="12"/>
  <c r="E23" i="12" s="1"/>
  <c r="E38" i="12" s="1"/>
  <c r="E40" i="12" s="1"/>
  <c r="D128" i="11"/>
  <c r="D129" i="11" s="1"/>
  <c r="D130" i="11" s="1"/>
  <c r="D128" i="10"/>
  <c r="D128" i="9"/>
  <c r="D128" i="8"/>
  <c r="D129" i="8" s="1"/>
  <c r="D129" i="7"/>
  <c r="D130" i="7" s="1"/>
  <c r="D97" i="6"/>
  <c r="D110" i="6" s="1"/>
  <c r="D112" i="6" s="1"/>
  <c r="D146" i="6" s="1"/>
  <c r="D148" i="6"/>
  <c r="D97" i="5"/>
  <c r="D110" i="5" s="1"/>
  <c r="D112" i="5" s="1"/>
  <c r="D146" i="5" s="1"/>
  <c r="D148" i="5" s="1"/>
  <c r="D97" i="4"/>
  <c r="D110" i="4" s="1"/>
  <c r="D112" i="4" s="1"/>
  <c r="D146" i="4" s="1"/>
  <c r="D148" i="4"/>
  <c r="D97" i="3"/>
  <c r="D110" i="3" s="1"/>
  <c r="D112" i="3" s="1"/>
  <c r="D146" i="3" s="1"/>
  <c r="D148" i="3" s="1"/>
  <c r="D92" i="2"/>
  <c r="D95" i="2"/>
  <c r="D144" i="2"/>
  <c r="D91" i="2"/>
  <c r="D93" i="2"/>
  <c r="D94" i="2"/>
  <c r="D103" i="2"/>
  <c r="D104" i="2" s="1"/>
  <c r="D111" i="2" s="1"/>
  <c r="D96" i="2"/>
  <c r="D79" i="1"/>
  <c r="D80" i="1" s="1"/>
  <c r="D78" i="1"/>
  <c r="D76" i="1"/>
  <c r="D77" i="1" s="1"/>
  <c r="D143" i="1"/>
  <c r="D35" i="1"/>
  <c r="D81" i="1"/>
  <c r="D34" i="1"/>
  <c r="C8" i="12" l="1"/>
  <c r="C9" i="12" s="1"/>
  <c r="C10" i="12" s="1"/>
  <c r="C11" i="12" s="1"/>
  <c r="C12" i="12" s="1"/>
  <c r="C13" i="12" s="1"/>
  <c r="D137" i="11"/>
  <c r="D149" i="11" s="1"/>
  <c r="D150" i="11" s="1"/>
  <c r="C19" i="13" s="1"/>
  <c r="E19" i="13" s="1"/>
  <c r="D129" i="10"/>
  <c r="D129" i="9"/>
  <c r="D130" i="9" s="1"/>
  <c r="D137" i="9" s="1"/>
  <c r="D149" i="9" s="1"/>
  <c r="D150" i="9" s="1"/>
  <c r="C17" i="13" s="1"/>
  <c r="E17" i="13" s="1"/>
  <c r="D130" i="8"/>
  <c r="D137" i="8"/>
  <c r="D149" i="8" s="1"/>
  <c r="D150" i="8" s="1"/>
  <c r="C16" i="13" s="1"/>
  <c r="E16" i="13" s="1"/>
  <c r="D137" i="7"/>
  <c r="D149" i="7" s="1"/>
  <c r="D150" i="7" s="1"/>
  <c r="C15" i="13" s="1"/>
  <c r="E15" i="13" s="1"/>
  <c r="D128" i="6"/>
  <c r="D128" i="5"/>
  <c r="D128" i="4"/>
  <c r="D128" i="3"/>
  <c r="D97" i="2"/>
  <c r="D110" i="2" s="1"/>
  <c r="D112" i="2" s="1"/>
  <c r="D146" i="2" s="1"/>
  <c r="D148" i="2" s="1"/>
  <c r="D36" i="1"/>
  <c r="D82" i="1"/>
  <c r="C15" i="12" l="1"/>
  <c r="C21" i="12" s="1"/>
  <c r="C14" i="12"/>
  <c r="D134" i="11"/>
  <c r="D133" i="11"/>
  <c r="D132" i="11"/>
  <c r="D131" i="11"/>
  <c r="D136" i="11"/>
  <c r="D135" i="11"/>
  <c r="D130" i="10"/>
  <c r="D137" i="10" s="1"/>
  <c r="D149" i="10" s="1"/>
  <c r="D150" i="10" s="1"/>
  <c r="C18" i="13" s="1"/>
  <c r="E18" i="13" s="1"/>
  <c r="D134" i="9"/>
  <c r="D133" i="9"/>
  <c r="D132" i="9"/>
  <c r="D131" i="9"/>
  <c r="D136" i="9"/>
  <c r="D135" i="9"/>
  <c r="D134" i="8"/>
  <c r="D133" i="8"/>
  <c r="D132" i="8"/>
  <c r="D131" i="8"/>
  <c r="D136" i="8"/>
  <c r="D135" i="8"/>
  <c r="D134" i="7"/>
  <c r="D131" i="7"/>
  <c r="D133" i="7"/>
  <c r="D132" i="7"/>
  <c r="D136" i="7"/>
  <c r="D135" i="7"/>
  <c r="D129" i="6"/>
  <c r="D130" i="6" s="1"/>
  <c r="D129" i="5"/>
  <c r="D130" i="5" s="1"/>
  <c r="D129" i="4"/>
  <c r="D130" i="4" s="1"/>
  <c r="D129" i="3"/>
  <c r="D128" i="2"/>
  <c r="D67" i="1"/>
  <c r="D46" i="1"/>
  <c r="D43" i="1"/>
  <c r="D47" i="1"/>
  <c r="D49" i="1"/>
  <c r="D44" i="1"/>
  <c r="D42" i="1"/>
  <c r="D48" i="1"/>
  <c r="D45" i="1"/>
  <c r="D145" i="1"/>
  <c r="E20" i="13" l="1"/>
  <c r="F20" i="13"/>
  <c r="F29" i="13" s="1"/>
  <c r="F31" i="13" s="1"/>
  <c r="E33" i="13" s="1"/>
  <c r="C20" i="12"/>
  <c r="C19" i="12"/>
  <c r="C22" i="12" s="1"/>
  <c r="C23" i="12" s="1"/>
  <c r="C38" i="12" s="1"/>
  <c r="C40" i="12" s="1"/>
  <c r="A43" i="12" s="1"/>
  <c r="D131" i="10"/>
  <c r="D134" i="10"/>
  <c r="D133" i="10"/>
  <c r="D136" i="10"/>
  <c r="D135" i="10"/>
  <c r="D132" i="10"/>
  <c r="D137" i="6"/>
  <c r="D149" i="6" s="1"/>
  <c r="D134" i="6"/>
  <c r="D133" i="6"/>
  <c r="D132" i="6"/>
  <c r="D131" i="6"/>
  <c r="D136" i="6"/>
  <c r="D135" i="6"/>
  <c r="D137" i="5"/>
  <c r="D149" i="5" s="1"/>
  <c r="D137" i="4"/>
  <c r="D149" i="4" s="1"/>
  <c r="D130" i="3"/>
  <c r="D137" i="3" s="1"/>
  <c r="D149" i="3" s="1"/>
  <c r="D129" i="2"/>
  <c r="D50" i="1"/>
  <c r="D68" i="1" s="1"/>
  <c r="D70" i="1" s="1"/>
  <c r="D93" i="1"/>
  <c r="D91" i="1"/>
  <c r="D96" i="1"/>
  <c r="D95" i="1"/>
  <c r="D144" i="1"/>
  <c r="D94" i="1" l="1"/>
  <c r="D103" i="1"/>
  <c r="D104" i="1" s="1"/>
  <c r="D111" i="1" s="1"/>
  <c r="D92" i="1"/>
  <c r="D134" i="5"/>
  <c r="D133" i="5"/>
  <c r="D132" i="5"/>
  <c r="D131" i="5"/>
  <c r="D136" i="5"/>
  <c r="D135" i="5"/>
  <c r="D134" i="4"/>
  <c r="D133" i="4"/>
  <c r="D132" i="4"/>
  <c r="D131" i="4"/>
  <c r="D136" i="4"/>
  <c r="D135" i="4"/>
  <c r="D134" i="3"/>
  <c r="D133" i="3"/>
  <c r="D132" i="3"/>
  <c r="D131" i="3"/>
  <c r="D136" i="3"/>
  <c r="D135" i="3"/>
  <c r="D130" i="2"/>
  <c r="D137" i="2" s="1"/>
  <c r="D149" i="2" s="1"/>
  <c r="D97" i="1"/>
  <c r="D110" i="1" s="1"/>
  <c r="D112" i="1" s="1"/>
  <c r="D146" i="1" s="1"/>
  <c r="D148" i="1" s="1"/>
  <c r="D150" i="2" l="1"/>
  <c r="D134" i="2" s="1"/>
  <c r="D135" i="2"/>
  <c r="D136" i="2"/>
  <c r="D131" i="2"/>
  <c r="D132" i="2"/>
  <c r="D128" i="1"/>
  <c r="D129" i="1" s="1"/>
  <c r="D130" i="1" s="1"/>
  <c r="D133" i="2" l="1"/>
  <c r="D137" i="1"/>
  <c r="D149" i="1" s="1"/>
  <c r="D150" i="1" l="1"/>
  <c r="D136" i="1" s="1"/>
  <c r="D133" i="1"/>
  <c r="D131" i="1"/>
  <c r="D134" i="1"/>
  <c r="D132" i="1" l="1"/>
  <c r="D135" i="1"/>
</calcChain>
</file>

<file path=xl/sharedStrings.xml><?xml version="1.0" encoding="utf-8"?>
<sst xmlns="http://schemas.openxmlformats.org/spreadsheetml/2006/main" count="2087" uniqueCount="166">
  <si>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</si>
  <si>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</si>
  <si>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</si>
  <si>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</si>
  <si>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</si>
  <si>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</si>
  <si>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</si>
  <si>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</si>
  <si>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</si>
  <si>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</si>
  <si>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</si>
  <si>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</si>
  <si>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</si>
  <si>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</si>
  <si>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</si>
  <si>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</si>
  <si>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</si>
  <si>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</si>
  <si>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</si>
  <si>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</si>
  <si>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</si>
  <si>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</si>
  <si>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</si>
  <si>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</si>
  <si>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</si>
  <si>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</si>
  <si>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</si>
  <si>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</si>
  <si>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</si>
  <si>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</si>
  <si>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</si>
  <si>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</si>
  <si>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</si>
  <si>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</si>
  <si>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</si>
  <si>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</si>
  <si>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</si>
  <si>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</si>
  <si>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</si>
  <si>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</si>
  <si>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</si>
  <si>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</si>
  <si>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</si>
  <si>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</si>
  <si>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</si>
  <si>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</si>
  <si>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</si>
  <si>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</si>
  <si>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</si>
  <si>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</si>
  <si>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</si>
  <si>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</si>
  <si>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</si>
  <si>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</si>
  <si>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</si>
  <si>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</si>
  <si>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</si>
  <si>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</si>
  <si>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</si>
  <si>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</si>
  <si>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</si>
  <si>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</si>
  <si>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</si>
  <si>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</si>
  <si>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</si>
  <si>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</si>
  <si>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</si>
  <si>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</si>
  <si>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</si>
  <si>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</si>
  <si>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</si>
  <si>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</si>
  <si>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</si>
  <si>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</si>
  <si>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</si>
  <si>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</si>
  <si>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</si>
  <si>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</si>
  <si>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</si>
  <si>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</si>
  <si>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</si>
  <si>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</si>
  <si>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</si>
  <si>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</si>
  <si>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</si>
  <si>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</si>
  <si>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</si>
  <si>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</si>
  <si>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</si>
  <si>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</si>
  <si>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</si>
  <si>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</si>
  <si>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</si>
  <si>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</si>
  <si>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</si>
  <si>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</si>
  <si>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</si>
  <si>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</si>
  <si>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Multa do FGTS sobre o Aviso Prévio Indenizado</t>
  </si>
  <si>
    <t>Multa do FGTS sobre o Aviso Prévio Trabalhado</t>
  </si>
  <si>
    <t>posto de serviço</t>
  </si>
  <si>
    <t>BA000221/2024</t>
  </si>
  <si>
    <t>4110-15</t>
  </si>
  <si>
    <t>Assistência Médica</t>
  </si>
  <si>
    <t>Assistência Odontológica</t>
  </si>
  <si>
    <t>Seguro de Vida</t>
  </si>
  <si>
    <t>Telefonista</t>
  </si>
  <si>
    <t>4222-05</t>
  </si>
  <si>
    <t>Telefonista Bilíngüe</t>
  </si>
  <si>
    <t>Supervisor</t>
  </si>
  <si>
    <t>4101-05</t>
  </si>
  <si>
    <t>Auxiliar de Supervisão</t>
  </si>
  <si>
    <t xml:space="preserve">4101-05 </t>
  </si>
  <si>
    <t>Auxiliar de Supervisão - acréscimo temporário</t>
  </si>
  <si>
    <t>Telefonista - acréscimo temporário</t>
  </si>
  <si>
    <t>Horas Extras</t>
  </si>
  <si>
    <t>valores referenciais</t>
  </si>
  <si>
    <t>posto</t>
  </si>
  <si>
    <t>remuneração</t>
  </si>
  <si>
    <t>por hora</t>
  </si>
  <si>
    <t>13º, férias e adicional</t>
  </si>
  <si>
    <t>subtotal 1</t>
  </si>
  <si>
    <t>encargos sociais e trabalhistas</t>
  </si>
  <si>
    <t>subtotal 2</t>
  </si>
  <si>
    <t>custo hora normal</t>
  </si>
  <si>
    <t>hora extra dias úteis, inclusive sábados</t>
  </si>
  <si>
    <t>hora extra domingos e feriados</t>
  </si>
  <si>
    <t>custo com horas extras</t>
  </si>
  <si>
    <t>segundas às sextas</t>
  </si>
  <si>
    <t>sábados</t>
  </si>
  <si>
    <t>domingos e feriados</t>
  </si>
  <si>
    <t>total por posto</t>
  </si>
  <si>
    <t>total</t>
  </si>
  <si>
    <t>custo com vale transporte na prestação de horas extras</t>
  </si>
  <si>
    <t>valor unitário</t>
  </si>
  <si>
    <t>por dia</t>
  </si>
  <si>
    <t>custos indiretos, lucro e tributos</t>
  </si>
  <si>
    <t>Atendente III</t>
  </si>
  <si>
    <t>Atendente IV</t>
  </si>
  <si>
    <t>custo diário com vale transporte, por posto</t>
  </si>
  <si>
    <t>custo total na prestação de horas extras</t>
  </si>
  <si>
    <t>horas extras</t>
  </si>
  <si>
    <t>vale transporte</t>
  </si>
  <si>
    <t>Total Estimado:</t>
  </si>
  <si>
    <t>ano eleitoral</t>
  </si>
  <si>
    <t>Quadro resumo - valor total estimado</t>
  </si>
  <si>
    <t>Postos regulares</t>
  </si>
  <si>
    <t>item</t>
  </si>
  <si>
    <t>especificação</t>
  </si>
  <si>
    <t>valor mensal unitário</t>
  </si>
  <si>
    <t>quantidade</t>
  </si>
  <si>
    <t>valor mensal</t>
  </si>
  <si>
    <t>valor anual</t>
  </si>
  <si>
    <t>Acréscimo de postos</t>
  </si>
  <si>
    <t>valor total</t>
  </si>
  <si>
    <t>ano não eleitoral</t>
  </si>
  <si>
    <t>Valores Anuais</t>
  </si>
  <si>
    <t>Valor Total Estimado - 24 meses [ A + B ]</t>
  </si>
  <si>
    <r>
      <t xml:space="preserve">valor anual </t>
    </r>
    <r>
      <rPr>
        <b/>
        <sz val="11"/>
        <color theme="1"/>
        <rFont val="Times New Roman"/>
        <family val="1"/>
      </rPr>
      <t>[ A ]</t>
    </r>
  </si>
  <si>
    <r>
      <t xml:space="preserve">valor anual </t>
    </r>
    <r>
      <rPr>
        <b/>
        <sz val="11"/>
        <color theme="1"/>
        <rFont val="Times New Roman"/>
        <family val="1"/>
      </rPr>
      <t>[ B ]</t>
    </r>
  </si>
  <si>
    <t>Atendente IV (Libras)</t>
  </si>
  <si>
    <t>Telefonista Bilíngue (Libras)</t>
  </si>
  <si>
    <t>Atendente III - acréscimo temporário</t>
  </si>
  <si>
    <t>Atendente IV (Libras) - acréscimo temporário</t>
  </si>
  <si>
    <t>Telefonista Bilíngue (Libras) - acréscimo temporário</t>
  </si>
  <si>
    <t>valor total
(até 61 dias)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</si>
</sst>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\-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 val="singleAccounting"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8" fillId="0" borderId="0" xfId="0" applyFont="1" applyAlignment="1">
      <alignment vertical="top"/>
    </xf>
    <xf numFmtId="0" fontId="8" fillId="0" borderId="9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vertical="top" wrapText="1"/>
    </xf>
    <xf numFmtId="0" fontId="8" fillId="0" borderId="2" xfId="0" applyFont="1" applyBorder="1" applyAlignment="1">
      <alignment vertical="top"/>
    </xf>
    <xf numFmtId="43" fontId="8" fillId="0" borderId="3" xfId="0" applyNumberFormat="1" applyFont="1" applyBorder="1" applyAlignment="1">
      <alignment vertical="top"/>
    </xf>
    <xf numFmtId="10" fontId="8" fillId="0" borderId="2" xfId="0" applyNumberFormat="1" applyFont="1" applyBorder="1" applyAlignment="1">
      <alignment vertical="top"/>
    </xf>
    <xf numFmtId="9" fontId="8" fillId="0" borderId="2" xfId="0" applyNumberFormat="1" applyFont="1" applyBorder="1" applyAlignment="1">
      <alignment vertical="top"/>
    </xf>
    <xf numFmtId="0" fontId="8" fillId="0" borderId="6" xfId="0" applyFont="1" applyBorder="1" applyAlignment="1">
      <alignment vertical="top"/>
    </xf>
    <xf numFmtId="0" fontId="8" fillId="0" borderId="7" xfId="0" applyFont="1" applyBorder="1" applyAlignment="1">
      <alignment vertical="top"/>
    </xf>
    <xf numFmtId="0" fontId="8" fillId="0" borderId="8" xfId="0" applyFont="1" applyBorder="1" applyAlignment="1">
      <alignment vertical="top"/>
    </xf>
    <xf numFmtId="0" fontId="8" fillId="0" borderId="10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43" fontId="9" fillId="0" borderId="3" xfId="0" applyNumberFormat="1" applyFont="1" applyBorder="1" applyAlignment="1">
      <alignment vertical="top"/>
    </xf>
    <xf numFmtId="0" fontId="9" fillId="0" borderId="0" xfId="0" applyFont="1" applyAlignment="1">
      <alignment vertical="top"/>
    </xf>
    <xf numFmtId="0" fontId="8" fillId="0" borderId="0" xfId="0" applyFont="1" applyAlignment="1">
      <alignment horizontal="center" vertical="top" wrapText="1"/>
    </xf>
    <xf numFmtId="43" fontId="10" fillId="0" borderId="0" xfId="10" applyFont="1" applyAlignment="1">
      <alignment vertical="top"/>
    </xf>
    <xf numFmtId="0" fontId="8" fillId="0" borderId="4" xfId="0" applyFont="1" applyBorder="1" applyAlignment="1">
      <alignment horizontal="center" vertical="top"/>
    </xf>
    <xf numFmtId="0" fontId="8" fillId="0" borderId="4" xfId="0" applyFont="1" applyBorder="1" applyAlignment="1">
      <alignment vertical="top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43" fontId="8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horizontal="center" vertical="top"/>
    </xf>
    <xf numFmtId="43" fontId="9" fillId="0" borderId="1" xfId="0" applyNumberFormat="1" applyFont="1" applyBorder="1" applyAlignment="1">
      <alignment vertical="top"/>
    </xf>
    <xf numFmtId="43" fontId="9" fillId="0" borderId="1" xfId="10" applyFont="1" applyBorder="1" applyAlignment="1">
      <alignment vertical="top"/>
    </xf>
    <xf numFmtId="0" fontId="8" fillId="0" borderId="12" xfId="0" applyFont="1" applyBorder="1" applyAlignment="1">
      <alignment vertical="top"/>
    </xf>
    <xf numFmtId="0" fontId="8" fillId="0" borderId="4" xfId="0" applyFont="1" applyBorder="1" applyAlignment="1">
      <alignment horizontal="right" vertical="top"/>
    </xf>
    <xf numFmtId="43" fontId="8" fillId="0" borderId="5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2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14" fontId="4" fillId="0" borderId="2" xfId="0" applyNumberFormat="1" applyFont="1" applyBorder="1" applyAlignment="1">
      <alignment horizontal="center"/>
    </xf>
    <xf numFmtId="0" fontId="5" fillId="5" borderId="0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/>
    </xf>
    <xf numFmtId="0" fontId="9" fillId="0" borderId="0" xfId="0" applyFont="1" applyBorder="1" applyAlignment="1">
      <alignment horizontal="right" vertical="top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43" fontId="8" fillId="0" borderId="1" xfId="0" applyNumberFormat="1" applyFont="1" applyBorder="1" applyAlignment="1">
      <alignment vertical="top" wrapText="1"/>
    </xf>
    <xf numFmtId="43" fontId="8" fillId="0" borderId="1" xfId="10" applyFont="1" applyBorder="1" applyAlignment="1">
      <alignment vertical="top" wrapText="1"/>
    </xf>
  </cellXfs>
  <cellStyles count="12">
    <cellStyle name="Normal" xfId="0" builtinId="0"/>
    <cellStyle name="Normal 2" xfId="1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zoomScaleNormal="115" zoomScaleSheetLayoutView="100" workbookViewId="0">
      <selection activeCell="A7" sqref="A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1" t="s">
        <v>0</v>
      </c>
      <c r="B1" s="81"/>
      <c r="C1" s="81"/>
      <c r="D1" s="81"/>
    </row>
    <row r="2" spans="1:4" ht="15.75" x14ac:dyDescent="0.25">
      <c r="A2" s="26"/>
      <c r="B2" s="26"/>
      <c r="C2" s="26"/>
      <c r="D2" s="26"/>
    </row>
    <row r="3" spans="1:4" x14ac:dyDescent="0.2">
      <c r="A3" s="71" t="s">
        <v>88</v>
      </c>
      <c r="B3" s="71"/>
      <c r="C3" s="71"/>
      <c r="D3" s="71"/>
    </row>
    <row r="4" spans="1:4" x14ac:dyDescent="0.2">
      <c r="A4" s="2"/>
      <c r="B4" s="2"/>
      <c r="C4" s="2"/>
      <c r="D4" s="2"/>
    </row>
    <row r="5" spans="1:4" ht="38.25" x14ac:dyDescent="0.2">
      <c r="A5" s="83" t="s">
        <v>89</v>
      </c>
      <c r="B5" s="83"/>
      <c r="C5" s="7" t="s">
        <v>90</v>
      </c>
      <c r="D5" s="27" t="s">
        <v>91</v>
      </c>
    </row>
    <row r="6" spans="1:4" x14ac:dyDescent="0.2">
      <c r="A6" s="63" t="s">
        <v>137</v>
      </c>
      <c r="B6" s="63"/>
      <c r="C6" s="33" t="s">
        <v>100</v>
      </c>
      <c r="D6" s="33">
        <v>8</v>
      </c>
    </row>
    <row r="8" spans="1:4" x14ac:dyDescent="0.2">
      <c r="A8" s="71" t="s">
        <v>72</v>
      </c>
      <c r="B8" s="71"/>
      <c r="C8" s="71"/>
      <c r="D8" s="71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64" t="s">
        <v>137</v>
      </c>
      <c r="D10" s="65"/>
    </row>
    <row r="11" spans="1:4" x14ac:dyDescent="0.2">
      <c r="A11" s="5">
        <v>2</v>
      </c>
      <c r="B11" s="5" t="s">
        <v>92</v>
      </c>
      <c r="C11" s="64" t="s">
        <v>102</v>
      </c>
      <c r="D11" s="65"/>
    </row>
    <row r="12" spans="1:4" x14ac:dyDescent="0.2">
      <c r="A12" s="5">
        <v>3</v>
      </c>
      <c r="B12" s="5" t="s">
        <v>74</v>
      </c>
      <c r="C12" s="68">
        <v>1669.59</v>
      </c>
      <c r="D12" s="69"/>
    </row>
    <row r="13" spans="1:4" x14ac:dyDescent="0.2">
      <c r="A13" s="5">
        <v>4</v>
      </c>
      <c r="B13" s="5" t="s">
        <v>75</v>
      </c>
      <c r="C13" s="64" t="s">
        <v>101</v>
      </c>
      <c r="D13" s="65"/>
    </row>
    <row r="14" spans="1:4" x14ac:dyDescent="0.2">
      <c r="A14" s="5">
        <v>5</v>
      </c>
      <c r="B14" s="5" t="s">
        <v>76</v>
      </c>
      <c r="C14" s="70">
        <v>45657</v>
      </c>
      <c r="D14" s="65"/>
    </row>
    <row r="16" spans="1:4" x14ac:dyDescent="0.2">
      <c r="A16" s="71" t="s">
        <v>1</v>
      </c>
      <c r="B16" s="71"/>
      <c r="C16" s="71"/>
      <c r="D16" s="71"/>
    </row>
    <row r="18" spans="1:4" x14ac:dyDescent="0.2">
      <c r="A18" s="6">
        <v>1</v>
      </c>
      <c r="B18" s="66" t="s">
        <v>2</v>
      </c>
      <c r="C18" s="66"/>
      <c r="D18" s="6" t="s">
        <v>3</v>
      </c>
    </row>
    <row r="19" spans="1:4" x14ac:dyDescent="0.2">
      <c r="A19" s="7" t="s">
        <v>4</v>
      </c>
      <c r="B19" s="67" t="s">
        <v>5</v>
      </c>
      <c r="C19" s="67"/>
      <c r="D19" s="13">
        <v>1669.59</v>
      </c>
    </row>
    <row r="20" spans="1:4" x14ac:dyDescent="0.2">
      <c r="A20" s="7" t="s">
        <v>6</v>
      </c>
      <c r="B20" s="67" t="s">
        <v>7</v>
      </c>
      <c r="C20" s="67"/>
      <c r="D20" s="13"/>
    </row>
    <row r="21" spans="1:4" x14ac:dyDescent="0.2">
      <c r="A21" s="7" t="s">
        <v>8</v>
      </c>
      <c r="B21" s="67" t="s">
        <v>9</v>
      </c>
      <c r="C21" s="67"/>
      <c r="D21" s="13"/>
    </row>
    <row r="22" spans="1:4" x14ac:dyDescent="0.2">
      <c r="A22" s="7" t="s">
        <v>10</v>
      </c>
      <c r="B22" s="67" t="s">
        <v>11</v>
      </c>
      <c r="C22" s="67"/>
      <c r="D22" s="13"/>
    </row>
    <row r="23" spans="1:4" x14ac:dyDescent="0.2">
      <c r="A23" s="7" t="s">
        <v>12</v>
      </c>
      <c r="B23" s="67" t="s">
        <v>13</v>
      </c>
      <c r="C23" s="67"/>
      <c r="D23" s="13"/>
    </row>
    <row r="24" spans="1:4" x14ac:dyDescent="0.2">
      <c r="A24" s="7"/>
      <c r="B24" s="67"/>
      <c r="C24" s="67"/>
      <c r="D24" s="13"/>
    </row>
    <row r="25" spans="1:4" x14ac:dyDescent="0.2">
      <c r="A25" s="7" t="s">
        <v>14</v>
      </c>
      <c r="B25" s="67" t="s">
        <v>15</v>
      </c>
      <c r="C25" s="67"/>
      <c r="D25" s="13"/>
    </row>
    <row r="26" spans="1:4" x14ac:dyDescent="0.2">
      <c r="A26" s="66" t="s">
        <v>16</v>
      </c>
      <c r="B26" s="66"/>
      <c r="C26" s="66"/>
      <c r="D26" s="20">
        <f>SUM(D19:D25)</f>
        <v>1669.59</v>
      </c>
    </row>
    <row r="29" spans="1:4" x14ac:dyDescent="0.2">
      <c r="A29" s="72" t="s">
        <v>17</v>
      </c>
      <c r="B29" s="72"/>
      <c r="C29" s="72"/>
      <c r="D29" s="72"/>
    </row>
    <row r="30" spans="1:4" x14ac:dyDescent="0.2">
      <c r="A30" s="3"/>
    </row>
    <row r="31" spans="1:4" x14ac:dyDescent="0.2">
      <c r="A31" s="79" t="s">
        <v>18</v>
      </c>
      <c r="B31" s="79"/>
      <c r="C31" s="79"/>
      <c r="D31" s="79"/>
    </row>
    <row r="33" spans="1:4" x14ac:dyDescent="0.2">
      <c r="A33" s="6" t="s">
        <v>19</v>
      </c>
      <c r="B33" s="66" t="s">
        <v>20</v>
      </c>
      <c r="C33" s="66"/>
      <c r="D33" s="6" t="s">
        <v>3</v>
      </c>
    </row>
    <row r="34" spans="1:4" x14ac:dyDescent="0.2">
      <c r="A34" s="7" t="s">
        <v>4</v>
      </c>
      <c r="B34" s="8" t="s">
        <v>21</v>
      </c>
      <c r="C34" s="12">
        <f>TRUNC(1/12,4)</f>
        <v>8.3299999999999999E-2</v>
      </c>
      <c r="D34" s="13">
        <f>TRUNC($D$26*C34,2)</f>
        <v>139.07</v>
      </c>
    </row>
    <row r="35" spans="1:4" x14ac:dyDescent="0.2">
      <c r="A35" s="7" t="s">
        <v>6</v>
      </c>
      <c r="B35" s="8" t="s">
        <v>22</v>
      </c>
      <c r="C35" s="12">
        <f>TRUNC(((1+1/3)/12),4)</f>
        <v>0.1111</v>
      </c>
      <c r="D35" s="13">
        <f>TRUNC($D$26*C35,2)</f>
        <v>185.49</v>
      </c>
    </row>
    <row r="36" spans="1:4" x14ac:dyDescent="0.2">
      <c r="A36" s="66" t="s">
        <v>16</v>
      </c>
      <c r="B36" s="66"/>
      <c r="C36" s="28">
        <f>SUM(C34:C35)</f>
        <v>0.19440000000000002</v>
      </c>
      <c r="D36" s="19">
        <f>SUM(D34:D35)</f>
        <v>324.56</v>
      </c>
    </row>
    <row r="39" spans="1:4" x14ac:dyDescent="0.2">
      <c r="A39" s="82" t="s">
        <v>23</v>
      </c>
      <c r="B39" s="82"/>
      <c r="C39" s="82"/>
      <c r="D39" s="82"/>
    </row>
    <row r="41" spans="1:4" x14ac:dyDescent="0.2">
      <c r="A41" s="6" t="s">
        <v>24</v>
      </c>
      <c r="B41" s="6" t="s">
        <v>25</v>
      </c>
      <c r="C41" s="6" t="s">
        <v>26</v>
      </c>
      <c r="D41" s="6" t="s">
        <v>3</v>
      </c>
    </row>
    <row r="42" spans="1:4" x14ac:dyDescent="0.2">
      <c r="A42" s="7" t="s">
        <v>4</v>
      </c>
      <c r="B42" s="8" t="s">
        <v>27</v>
      </c>
      <c r="C42" s="9">
        <v>0.2</v>
      </c>
      <c r="D42" s="13">
        <f>TRUNC(($D$26+$D$36)*C42,2)</f>
        <v>398.83</v>
      </c>
    </row>
    <row r="43" spans="1:4" x14ac:dyDescent="0.2">
      <c r="A43" s="7" t="s">
        <v>6</v>
      </c>
      <c r="B43" s="8" t="s">
        <v>28</v>
      </c>
      <c r="C43" s="9">
        <v>2.5000000000000001E-2</v>
      </c>
      <c r="D43" s="13">
        <f t="shared" ref="D43:D49" si="0">TRUNC(($D$26+$D$36)*C43,2)</f>
        <v>49.85</v>
      </c>
    </row>
    <row r="44" spans="1:4" x14ac:dyDescent="0.2">
      <c r="A44" s="7" t="s">
        <v>8</v>
      </c>
      <c r="B44" s="8" t="s">
        <v>29</v>
      </c>
      <c r="C44" s="16">
        <v>0.03</v>
      </c>
      <c r="D44" s="13">
        <f t="shared" si="0"/>
        <v>59.82</v>
      </c>
    </row>
    <row r="45" spans="1:4" x14ac:dyDescent="0.2">
      <c r="A45" s="7" t="s">
        <v>10</v>
      </c>
      <c r="B45" s="8" t="s">
        <v>30</v>
      </c>
      <c r="C45" s="9">
        <v>1.4999999999999999E-2</v>
      </c>
      <c r="D45" s="13">
        <f t="shared" si="0"/>
        <v>29.91</v>
      </c>
    </row>
    <row r="46" spans="1:4" x14ac:dyDescent="0.2">
      <c r="A46" s="7" t="s">
        <v>12</v>
      </c>
      <c r="B46" s="8" t="s">
        <v>31</v>
      </c>
      <c r="C46" s="9">
        <v>0.01</v>
      </c>
      <c r="D46" s="13">
        <f t="shared" si="0"/>
        <v>19.940000000000001</v>
      </c>
    </row>
    <row r="47" spans="1:4" x14ac:dyDescent="0.2">
      <c r="A47" s="7" t="s">
        <v>32</v>
      </c>
      <c r="B47" s="8" t="s">
        <v>33</v>
      </c>
      <c r="C47" s="9">
        <v>6.0000000000000001E-3</v>
      </c>
      <c r="D47" s="13">
        <f t="shared" si="0"/>
        <v>11.96</v>
      </c>
    </row>
    <row r="48" spans="1:4" x14ac:dyDescent="0.2">
      <c r="A48" s="7" t="s">
        <v>14</v>
      </c>
      <c r="B48" s="8" t="s">
        <v>34</v>
      </c>
      <c r="C48" s="9">
        <v>2E-3</v>
      </c>
      <c r="D48" s="13">
        <f t="shared" si="0"/>
        <v>3.98</v>
      </c>
    </row>
    <row r="49" spans="1:4" x14ac:dyDescent="0.2">
      <c r="A49" s="7" t="s">
        <v>35</v>
      </c>
      <c r="B49" s="8" t="s">
        <v>36</v>
      </c>
      <c r="C49" s="9">
        <v>0.08</v>
      </c>
      <c r="D49" s="13">
        <f t="shared" si="0"/>
        <v>159.53</v>
      </c>
    </row>
    <row r="50" spans="1:4" x14ac:dyDescent="0.2">
      <c r="A50" s="66" t="s">
        <v>37</v>
      </c>
      <c r="B50" s="66"/>
      <c r="C50" s="15">
        <f>SUM(C42:C49)</f>
        <v>0.36800000000000005</v>
      </c>
      <c r="D50" s="19">
        <f>SUM(D42:D49)</f>
        <v>733.82</v>
      </c>
    </row>
    <row r="53" spans="1:4" x14ac:dyDescent="0.2">
      <c r="A53" s="79" t="s">
        <v>38</v>
      </c>
      <c r="B53" s="79"/>
      <c r="C53" s="79"/>
      <c r="D53" s="79"/>
    </row>
    <row r="55" spans="1:4" x14ac:dyDescent="0.2">
      <c r="A55" s="6" t="s">
        <v>39</v>
      </c>
      <c r="B55" s="78" t="s">
        <v>40</v>
      </c>
      <c r="C55" s="78"/>
      <c r="D55" s="6" t="s">
        <v>3</v>
      </c>
    </row>
    <row r="56" spans="1:4" x14ac:dyDescent="0.2">
      <c r="A56" s="7" t="s">
        <v>4</v>
      </c>
      <c r="B56" s="67" t="s">
        <v>41</v>
      </c>
      <c r="C56" s="67"/>
      <c r="D56" s="13">
        <f>IF((22*2*5.2)-(D19*0.06)&gt;0,(22*2*5.2)-(D19*0.06),0)</f>
        <v>128.62460000000002</v>
      </c>
    </row>
    <row r="57" spans="1:4" x14ac:dyDescent="0.2">
      <c r="A57" s="7" t="s">
        <v>6</v>
      </c>
      <c r="B57" s="67" t="s">
        <v>42</v>
      </c>
      <c r="C57" s="67"/>
      <c r="D57" s="13">
        <f>17*0.8*22</f>
        <v>299.20000000000005</v>
      </c>
    </row>
    <row r="58" spans="1:4" x14ac:dyDescent="0.2">
      <c r="A58" s="7" t="s">
        <v>8</v>
      </c>
      <c r="B58" s="67" t="s">
        <v>103</v>
      </c>
      <c r="C58" s="67"/>
      <c r="D58" s="13">
        <v>170</v>
      </c>
    </row>
    <row r="59" spans="1:4" x14ac:dyDescent="0.2">
      <c r="A59" s="32" t="s">
        <v>10</v>
      </c>
      <c r="B59" s="67" t="s">
        <v>104</v>
      </c>
      <c r="C59" s="67"/>
      <c r="D59" s="13">
        <v>14</v>
      </c>
    </row>
    <row r="60" spans="1:4" x14ac:dyDescent="0.2">
      <c r="A60" s="7" t="s">
        <v>10</v>
      </c>
      <c r="B60" s="67" t="s">
        <v>105</v>
      </c>
      <c r="C60" s="67"/>
      <c r="D60" s="13">
        <v>4.4800000000000004</v>
      </c>
    </row>
    <row r="61" spans="1:4" x14ac:dyDescent="0.2">
      <c r="A61" s="66" t="s">
        <v>16</v>
      </c>
      <c r="B61" s="66"/>
      <c r="C61" s="66"/>
      <c r="D61" s="19">
        <f>SUM(D56:D60)</f>
        <v>616.30460000000005</v>
      </c>
    </row>
    <row r="64" spans="1:4" x14ac:dyDescent="0.2">
      <c r="A64" s="79" t="s">
        <v>43</v>
      </c>
      <c r="B64" s="79"/>
      <c r="C64" s="79"/>
      <c r="D64" s="79"/>
    </row>
    <row r="66" spans="1:5" x14ac:dyDescent="0.2">
      <c r="A66" s="6">
        <v>2</v>
      </c>
      <c r="B66" s="78" t="s">
        <v>44</v>
      </c>
      <c r="C66" s="78"/>
      <c r="D66" s="6" t="s">
        <v>3</v>
      </c>
    </row>
    <row r="67" spans="1:5" x14ac:dyDescent="0.2">
      <c r="A67" s="7" t="s">
        <v>19</v>
      </c>
      <c r="B67" s="67" t="s">
        <v>20</v>
      </c>
      <c r="C67" s="67"/>
      <c r="D67" s="14">
        <f>D36</f>
        <v>324.56</v>
      </c>
    </row>
    <row r="68" spans="1:5" x14ac:dyDescent="0.2">
      <c r="A68" s="7" t="s">
        <v>24</v>
      </c>
      <c r="B68" s="67" t="s">
        <v>25</v>
      </c>
      <c r="C68" s="67"/>
      <c r="D68" s="14">
        <f>D50</f>
        <v>733.82</v>
      </c>
    </row>
    <row r="69" spans="1:5" x14ac:dyDescent="0.2">
      <c r="A69" s="7" t="s">
        <v>39</v>
      </c>
      <c r="B69" s="67" t="s">
        <v>40</v>
      </c>
      <c r="C69" s="67"/>
      <c r="D69" s="14">
        <f>D61</f>
        <v>616.30460000000005</v>
      </c>
    </row>
    <row r="70" spans="1:5" x14ac:dyDescent="0.2">
      <c r="A70" s="66" t="s">
        <v>16</v>
      </c>
      <c r="B70" s="66"/>
      <c r="C70" s="66"/>
      <c r="D70" s="19">
        <f>SUM(D67:D69)</f>
        <v>1674.6846</v>
      </c>
    </row>
    <row r="71" spans="1:5" x14ac:dyDescent="0.2">
      <c r="A71" s="4"/>
      <c r="E71" s="18"/>
    </row>
    <row r="73" spans="1:5" x14ac:dyDescent="0.2">
      <c r="A73" s="72" t="s">
        <v>45</v>
      </c>
      <c r="B73" s="72"/>
      <c r="C73" s="72"/>
      <c r="D73" s="72"/>
      <c r="E73" s="17"/>
    </row>
    <row r="74" spans="1:5" ht="12.75" customHeight="1" x14ac:dyDescent="0.2">
      <c r="E74" s="18"/>
    </row>
    <row r="75" spans="1:5" x14ac:dyDescent="0.2">
      <c r="A75" s="6">
        <v>3</v>
      </c>
      <c r="B75" s="78" t="s">
        <v>46</v>
      </c>
      <c r="C75" s="78"/>
      <c r="D75" s="6" t="s">
        <v>3</v>
      </c>
    </row>
    <row r="76" spans="1:5" x14ac:dyDescent="0.2">
      <c r="A76" s="7" t="s">
        <v>4</v>
      </c>
      <c r="B76" s="10" t="s">
        <v>47</v>
      </c>
      <c r="C76" s="9">
        <f>TRUNC(((1/12)*5%),4)</f>
        <v>4.1000000000000003E-3</v>
      </c>
      <c r="D76" s="13">
        <f>TRUNC($D$26*C76,2)</f>
        <v>6.84</v>
      </c>
    </row>
    <row r="77" spans="1:5" x14ac:dyDescent="0.2">
      <c r="A77" s="7" t="s">
        <v>6</v>
      </c>
      <c r="B77" s="10" t="s">
        <v>48</v>
      </c>
      <c r="C77" s="9">
        <v>0.08</v>
      </c>
      <c r="D77" s="13">
        <f>TRUNC(D76*C77,2)</f>
        <v>0.54</v>
      </c>
    </row>
    <row r="78" spans="1:5" x14ac:dyDescent="0.2">
      <c r="A78" s="7" t="s">
        <v>8</v>
      </c>
      <c r="B78" s="10" t="s">
        <v>98</v>
      </c>
      <c r="C78" s="9">
        <f>TRUNC(8%*5%*40%,4)</f>
        <v>1.6000000000000001E-3</v>
      </c>
      <c r="D78" s="13">
        <f>TRUNC($D$26*C78,2)</f>
        <v>2.67</v>
      </c>
    </row>
    <row r="79" spans="1:5" x14ac:dyDescent="0.2">
      <c r="A79" s="7" t="s">
        <v>10</v>
      </c>
      <c r="B79" s="10" t="s">
        <v>49</v>
      </c>
      <c r="C79" s="9">
        <f>TRUNC(((7/30)/12)*95%,4)</f>
        <v>1.84E-2</v>
      </c>
      <c r="D79" s="13">
        <f>TRUNC($D$26*C79,2)</f>
        <v>30.72</v>
      </c>
    </row>
    <row r="80" spans="1:5" ht="25.5" x14ac:dyDescent="0.2">
      <c r="A80" s="7" t="s">
        <v>12</v>
      </c>
      <c r="B80" s="10" t="s">
        <v>93</v>
      </c>
      <c r="C80" s="9">
        <f>C50</f>
        <v>0.36800000000000005</v>
      </c>
      <c r="D80" s="13">
        <f>TRUNC(D79*C80,2)</f>
        <v>11.3</v>
      </c>
    </row>
    <row r="81" spans="1:4" x14ac:dyDescent="0.2">
      <c r="A81" s="7" t="s">
        <v>32</v>
      </c>
      <c r="B81" s="10" t="s">
        <v>99</v>
      </c>
      <c r="C81" s="9">
        <f>TRUNC(8%*95%*40%,4)</f>
        <v>3.04E-2</v>
      </c>
      <c r="D81" s="13">
        <f t="shared" ref="D81" si="1">TRUNC($D$26*C81,2)</f>
        <v>50.75</v>
      </c>
    </row>
    <row r="82" spans="1:4" x14ac:dyDescent="0.2">
      <c r="A82" s="76" t="s">
        <v>16</v>
      </c>
      <c r="B82" s="77"/>
      <c r="C82" s="80"/>
      <c r="D82" s="19">
        <f>SUM(D76:D81)</f>
        <v>102.82</v>
      </c>
    </row>
    <row r="85" spans="1:4" x14ac:dyDescent="0.2">
      <c r="A85" s="72" t="s">
        <v>50</v>
      </c>
      <c r="B85" s="72"/>
      <c r="C85" s="72"/>
      <c r="D85" s="72"/>
    </row>
    <row r="88" spans="1:4" x14ac:dyDescent="0.2">
      <c r="A88" s="79" t="s">
        <v>77</v>
      </c>
      <c r="B88" s="79"/>
      <c r="C88" s="79"/>
      <c r="D88" s="79"/>
    </row>
    <row r="89" spans="1:4" x14ac:dyDescent="0.2">
      <c r="A89" s="3"/>
    </row>
    <row r="90" spans="1:4" x14ac:dyDescent="0.2">
      <c r="A90" s="6" t="s">
        <v>51</v>
      </c>
      <c r="B90" s="78" t="s">
        <v>78</v>
      </c>
      <c r="C90" s="78"/>
      <c r="D90" s="6" t="s">
        <v>3</v>
      </c>
    </row>
    <row r="91" spans="1:4" x14ac:dyDescent="0.2">
      <c r="A91" s="7" t="s">
        <v>4</v>
      </c>
      <c r="B91" s="8" t="s">
        <v>79</v>
      </c>
      <c r="C91" s="9">
        <f>TRUNC(((1+1/3)/12)/12,4)</f>
        <v>9.1999999999999998E-3</v>
      </c>
      <c r="D91" s="13">
        <f>TRUNC(($D$26+$D$70+$D$82)*C91,2)</f>
        <v>31.71</v>
      </c>
    </row>
    <row r="92" spans="1:4" x14ac:dyDescent="0.2">
      <c r="A92" s="7" t="s">
        <v>6</v>
      </c>
      <c r="B92" s="8" t="s">
        <v>80</v>
      </c>
      <c r="C92" s="9">
        <f>TRUNC(((2/30)/12),4)</f>
        <v>5.4999999999999997E-3</v>
      </c>
      <c r="D92" s="13">
        <f t="shared" ref="D92:D96" si="2">TRUNC(($D$26+$D$70+$D$82)*C92,2)</f>
        <v>18.95</v>
      </c>
    </row>
    <row r="93" spans="1:4" x14ac:dyDescent="0.2">
      <c r="A93" s="7" t="s">
        <v>8</v>
      </c>
      <c r="B93" s="8" t="s">
        <v>81</v>
      </c>
      <c r="C93" s="9">
        <f>TRUNC(((5/30)/12)*2%,4)</f>
        <v>2.0000000000000001E-4</v>
      </c>
      <c r="D93" s="13">
        <f t="shared" si="2"/>
        <v>0.68</v>
      </c>
    </row>
    <row r="94" spans="1:4" x14ac:dyDescent="0.2">
      <c r="A94" s="7" t="s">
        <v>10</v>
      </c>
      <c r="B94" s="8" t="s">
        <v>82</v>
      </c>
      <c r="C94" s="9">
        <f>TRUNC(((15/30)/12)*8%,4)</f>
        <v>3.3E-3</v>
      </c>
      <c r="D94" s="13">
        <f t="shared" si="2"/>
        <v>11.37</v>
      </c>
    </row>
    <row r="95" spans="1:4" x14ac:dyDescent="0.2">
      <c r="A95" s="7" t="s">
        <v>12</v>
      </c>
      <c r="B95" s="8" t="s">
        <v>83</v>
      </c>
      <c r="C95" s="9">
        <f>((1+1/3)/12)*3%*(4/12)</f>
        <v>1.1111111111111109E-3</v>
      </c>
      <c r="D95" s="13">
        <f t="shared" si="2"/>
        <v>3.83</v>
      </c>
    </row>
    <row r="96" spans="1:4" x14ac:dyDescent="0.2">
      <c r="A96" s="7" t="s">
        <v>32</v>
      </c>
      <c r="B96" s="8" t="s">
        <v>84</v>
      </c>
      <c r="C96" s="9"/>
      <c r="D96" s="13">
        <f t="shared" si="2"/>
        <v>0</v>
      </c>
    </row>
    <row r="97" spans="1:6" x14ac:dyDescent="0.2">
      <c r="A97" s="66" t="s">
        <v>37</v>
      </c>
      <c r="B97" s="66"/>
      <c r="C97" s="66"/>
      <c r="D97" s="19">
        <f>SUM(D91:D96)</f>
        <v>66.539999999999992</v>
      </c>
      <c r="E97" s="17"/>
      <c r="F97" s="17"/>
    </row>
    <row r="100" spans="1:6" x14ac:dyDescent="0.2">
      <c r="A100" s="79" t="s">
        <v>85</v>
      </c>
      <c r="B100" s="79"/>
      <c r="C100" s="79"/>
      <c r="D100" s="79"/>
    </row>
    <row r="101" spans="1:6" x14ac:dyDescent="0.2">
      <c r="A101" s="3"/>
    </row>
    <row r="102" spans="1:6" x14ac:dyDescent="0.2">
      <c r="A102" s="6" t="s">
        <v>52</v>
      </c>
      <c r="B102" s="78" t="s">
        <v>86</v>
      </c>
      <c r="C102" s="78"/>
      <c r="D102" s="6" t="s">
        <v>3</v>
      </c>
    </row>
    <row r="103" spans="1:6" x14ac:dyDescent="0.2">
      <c r="A103" s="7" t="s">
        <v>4</v>
      </c>
      <c r="B103" s="73" t="s">
        <v>87</v>
      </c>
      <c r="C103" s="74"/>
      <c r="D103" s="13">
        <f>((D26+D70+D82)/220)*22*0</f>
        <v>0</v>
      </c>
    </row>
    <row r="104" spans="1:6" x14ac:dyDescent="0.2">
      <c r="A104" s="66" t="s">
        <v>16</v>
      </c>
      <c r="B104" s="66"/>
      <c r="C104" s="66"/>
      <c r="D104" s="19">
        <f>SUM(D103)</f>
        <v>0</v>
      </c>
    </row>
    <row r="107" spans="1:6" x14ac:dyDescent="0.2">
      <c r="A107" s="79" t="s">
        <v>53</v>
      </c>
      <c r="B107" s="79"/>
      <c r="C107" s="79"/>
      <c r="D107" s="79"/>
    </row>
    <row r="108" spans="1:6" x14ac:dyDescent="0.2">
      <c r="A108" s="3"/>
    </row>
    <row r="109" spans="1:6" x14ac:dyDescent="0.2">
      <c r="A109" s="6">
        <v>4</v>
      </c>
      <c r="B109" s="66" t="s">
        <v>54</v>
      </c>
      <c r="C109" s="66"/>
      <c r="D109" s="6" t="s">
        <v>3</v>
      </c>
    </row>
    <row r="110" spans="1:6" x14ac:dyDescent="0.2">
      <c r="A110" s="7" t="s">
        <v>51</v>
      </c>
      <c r="B110" s="67" t="s">
        <v>78</v>
      </c>
      <c r="C110" s="67"/>
      <c r="D110" s="14">
        <f>D97</f>
        <v>66.539999999999992</v>
      </c>
    </row>
    <row r="111" spans="1:6" x14ac:dyDescent="0.2">
      <c r="A111" s="7" t="s">
        <v>52</v>
      </c>
      <c r="B111" s="67" t="s">
        <v>86</v>
      </c>
      <c r="C111" s="67"/>
      <c r="D111" s="14">
        <f>D104</f>
        <v>0</v>
      </c>
    </row>
    <row r="112" spans="1:6" x14ac:dyDescent="0.2">
      <c r="A112" s="66" t="s">
        <v>16</v>
      </c>
      <c r="B112" s="66"/>
      <c r="C112" s="66"/>
      <c r="D112" s="19">
        <f>SUM(D110:D111)</f>
        <v>66.539999999999992</v>
      </c>
    </row>
    <row r="115" spans="1:4" x14ac:dyDescent="0.2">
      <c r="A115" s="72" t="s">
        <v>55</v>
      </c>
      <c r="B115" s="72"/>
      <c r="C115" s="72"/>
      <c r="D115" s="72"/>
    </row>
    <row r="117" spans="1:4" x14ac:dyDescent="0.2">
      <c r="A117" s="6">
        <v>5</v>
      </c>
      <c r="B117" s="75" t="s">
        <v>56</v>
      </c>
      <c r="C117" s="75"/>
      <c r="D117" s="6" t="s">
        <v>3</v>
      </c>
    </row>
    <row r="118" spans="1:4" x14ac:dyDescent="0.2">
      <c r="A118" s="7" t="s">
        <v>4</v>
      </c>
      <c r="B118" s="8" t="s">
        <v>57</v>
      </c>
      <c r="C118" s="8"/>
      <c r="D118" s="13">
        <v>21.44</v>
      </c>
    </row>
    <row r="119" spans="1:4" x14ac:dyDescent="0.2">
      <c r="A119" s="7" t="s">
        <v>6</v>
      </c>
      <c r="B119" s="8" t="s">
        <v>58</v>
      </c>
      <c r="C119" s="8"/>
      <c r="D119" s="13"/>
    </row>
    <row r="120" spans="1:4" x14ac:dyDescent="0.2">
      <c r="A120" s="7" t="s">
        <v>8</v>
      </c>
      <c r="B120" s="8" t="s">
        <v>59</v>
      </c>
      <c r="C120" s="8"/>
      <c r="D120" s="13"/>
    </row>
    <row r="121" spans="1:4" x14ac:dyDescent="0.2">
      <c r="A121" s="7" t="s">
        <v>10</v>
      </c>
      <c r="B121" s="8" t="s">
        <v>15</v>
      </c>
      <c r="C121" s="8"/>
      <c r="D121" s="13"/>
    </row>
    <row r="122" spans="1:4" x14ac:dyDescent="0.2">
      <c r="A122" s="66" t="s">
        <v>37</v>
      </c>
      <c r="B122" s="66"/>
      <c r="C122" s="66"/>
      <c r="D122" s="20">
        <f>SUM(D118:D121)</f>
        <v>21.44</v>
      </c>
    </row>
    <row r="125" spans="1:4" x14ac:dyDescent="0.2">
      <c r="A125" s="72" t="s">
        <v>60</v>
      </c>
      <c r="B125" s="72"/>
      <c r="C125" s="72"/>
      <c r="D125" s="72"/>
    </row>
    <row r="127" spans="1:4" x14ac:dyDescent="0.2">
      <c r="A127" s="6">
        <v>6</v>
      </c>
      <c r="B127" s="11" t="s">
        <v>61</v>
      </c>
      <c r="C127" s="6" t="s">
        <v>26</v>
      </c>
      <c r="D127" s="6" t="s">
        <v>3</v>
      </c>
    </row>
    <row r="128" spans="1:4" x14ac:dyDescent="0.2">
      <c r="A128" s="7" t="s">
        <v>4</v>
      </c>
      <c r="B128" s="8" t="s">
        <v>62</v>
      </c>
      <c r="C128" s="9">
        <v>0.05</v>
      </c>
      <c r="D128" s="14">
        <f>D148*C128</f>
        <v>176.75373000000002</v>
      </c>
    </row>
    <row r="129" spans="1:4" x14ac:dyDescent="0.2">
      <c r="A129" s="7" t="s">
        <v>6</v>
      </c>
      <c r="B129" s="8" t="s">
        <v>63</v>
      </c>
      <c r="C129" s="9">
        <v>0.06</v>
      </c>
      <c r="D129" s="13">
        <f>(D148+D128)*C129</f>
        <v>222.70969979999998</v>
      </c>
    </row>
    <row r="130" spans="1:4" x14ac:dyDescent="0.2">
      <c r="A130" s="7" t="s">
        <v>8</v>
      </c>
      <c r="B130" s="8" t="s">
        <v>64</v>
      </c>
      <c r="C130" s="12">
        <f>SUM(C131:C136)</f>
        <v>8.6499999999999994E-2</v>
      </c>
      <c r="D130" s="13">
        <f>(D148+D128+D129)*C130/(1-C130)</f>
        <v>372.56435640689654</v>
      </c>
    </row>
    <row r="131" spans="1:4" x14ac:dyDescent="0.2">
      <c r="A131" s="7"/>
      <c r="B131" s="8" t="s">
        <v>65</v>
      </c>
      <c r="C131" s="9"/>
      <c r="D131" s="14">
        <f>$D$150*C131</f>
        <v>0</v>
      </c>
    </row>
    <row r="132" spans="1:4" x14ac:dyDescent="0.2">
      <c r="A132" s="7"/>
      <c r="B132" s="25" t="s">
        <v>95</v>
      </c>
      <c r="C132" s="9">
        <v>6.4999999999999997E-3</v>
      </c>
      <c r="D132" s="14">
        <f t="shared" ref="D132:D133" si="3">$D$150*C132</f>
        <v>27.99615</v>
      </c>
    </row>
    <row r="133" spans="1:4" x14ac:dyDescent="0.2">
      <c r="A133" s="7"/>
      <c r="B133" s="25" t="s">
        <v>96</v>
      </c>
      <c r="C133" s="9">
        <v>0.03</v>
      </c>
      <c r="D133" s="14">
        <f t="shared" si="3"/>
        <v>129.21299999999999</v>
      </c>
    </row>
    <row r="134" spans="1:4" x14ac:dyDescent="0.2">
      <c r="A134" s="7"/>
      <c r="B134" s="8" t="s">
        <v>66</v>
      </c>
      <c r="C134" s="7"/>
      <c r="D134" s="14">
        <f t="shared" ref="D134:D135" si="4">$D$150*C134</f>
        <v>0</v>
      </c>
    </row>
    <row r="135" spans="1:4" x14ac:dyDescent="0.2">
      <c r="A135" s="7"/>
      <c r="B135" s="8" t="s">
        <v>67</v>
      </c>
      <c r="C135" s="9"/>
      <c r="D135" s="14">
        <f t="shared" si="4"/>
        <v>0</v>
      </c>
    </row>
    <row r="136" spans="1:4" x14ac:dyDescent="0.2">
      <c r="A136" s="7"/>
      <c r="B136" s="25" t="s">
        <v>97</v>
      </c>
      <c r="C136" s="9">
        <v>0.05</v>
      </c>
      <c r="D136" s="14">
        <f t="shared" ref="D136" si="5">$D$150*C136</f>
        <v>215.35500000000002</v>
      </c>
    </row>
    <row r="137" spans="1:4" ht="13.5" x14ac:dyDescent="0.2">
      <c r="A137" s="76" t="s">
        <v>37</v>
      </c>
      <c r="B137" s="77"/>
      <c r="C137" s="21">
        <f>(1+C129)*(1+C128)/(1-C130)-1</f>
        <v>0.21839080459770144</v>
      </c>
      <c r="D137" s="19">
        <f>SUM(D128:D130)</f>
        <v>772.02778620689651</v>
      </c>
    </row>
    <row r="140" spans="1:4" x14ac:dyDescent="0.2">
      <c r="A140" s="72" t="s">
        <v>68</v>
      </c>
      <c r="B140" s="72"/>
      <c r="C140" s="72"/>
      <c r="D140" s="72"/>
    </row>
    <row r="142" spans="1:4" x14ac:dyDescent="0.2">
      <c r="A142" s="6"/>
      <c r="B142" s="66" t="s">
        <v>69</v>
      </c>
      <c r="C142" s="66"/>
      <c r="D142" s="6" t="s">
        <v>3</v>
      </c>
    </row>
    <row r="143" spans="1:4" x14ac:dyDescent="0.2">
      <c r="A143" s="6" t="s">
        <v>4</v>
      </c>
      <c r="B143" s="67" t="s">
        <v>1</v>
      </c>
      <c r="C143" s="67"/>
      <c r="D143" s="22">
        <f>D26</f>
        <v>1669.59</v>
      </c>
    </row>
    <row r="144" spans="1:4" x14ac:dyDescent="0.2">
      <c r="A144" s="6" t="s">
        <v>6</v>
      </c>
      <c r="B144" s="67" t="s">
        <v>17</v>
      </c>
      <c r="C144" s="67"/>
      <c r="D144" s="22">
        <f>D70</f>
        <v>1674.6846</v>
      </c>
    </row>
    <row r="145" spans="1:4" x14ac:dyDescent="0.2">
      <c r="A145" s="6" t="s">
        <v>8</v>
      </c>
      <c r="B145" s="67" t="s">
        <v>45</v>
      </c>
      <c r="C145" s="67"/>
      <c r="D145" s="22">
        <f>D82</f>
        <v>102.82</v>
      </c>
    </row>
    <row r="146" spans="1:4" x14ac:dyDescent="0.2">
      <c r="A146" s="6" t="s">
        <v>10</v>
      </c>
      <c r="B146" s="67" t="s">
        <v>50</v>
      </c>
      <c r="C146" s="67"/>
      <c r="D146" s="22">
        <f>D112</f>
        <v>66.539999999999992</v>
      </c>
    </row>
    <row r="147" spans="1:4" x14ac:dyDescent="0.2">
      <c r="A147" s="6" t="s">
        <v>12</v>
      </c>
      <c r="B147" s="67" t="s">
        <v>55</v>
      </c>
      <c r="C147" s="67"/>
      <c r="D147" s="22">
        <f>D122</f>
        <v>21.44</v>
      </c>
    </row>
    <row r="148" spans="1:4" x14ac:dyDescent="0.2">
      <c r="A148" s="66" t="s">
        <v>94</v>
      </c>
      <c r="B148" s="66"/>
      <c r="C148" s="66"/>
      <c r="D148" s="23">
        <f>SUM(D143:D147)</f>
        <v>3535.0745999999999</v>
      </c>
    </row>
    <row r="149" spans="1:4" x14ac:dyDescent="0.2">
      <c r="A149" s="6" t="s">
        <v>32</v>
      </c>
      <c r="B149" s="67" t="s">
        <v>70</v>
      </c>
      <c r="C149" s="67"/>
      <c r="D149" s="24">
        <f>D137</f>
        <v>772.02778620689651</v>
      </c>
    </row>
    <row r="150" spans="1:4" x14ac:dyDescent="0.2">
      <c r="A150" s="66" t="s">
        <v>71</v>
      </c>
      <c r="B150" s="66"/>
      <c r="C150" s="66"/>
      <c r="D150" s="23">
        <f>ROUND(SUM(D148:D149),2)</f>
        <v>4307.1000000000004</v>
      </c>
    </row>
  </sheetData>
  <mergeCells count="71">
    <mergeCell ref="B147:C147"/>
    <mergeCell ref="A148:C148"/>
    <mergeCell ref="A53:D53"/>
    <mergeCell ref="B55:C55"/>
    <mergeCell ref="B56:C56"/>
    <mergeCell ref="B57:C57"/>
    <mergeCell ref="A64:D64"/>
    <mergeCell ref="B66:C66"/>
    <mergeCell ref="B67:C67"/>
    <mergeCell ref="B68:C68"/>
    <mergeCell ref="B69:C69"/>
    <mergeCell ref="A70:C70"/>
    <mergeCell ref="A73:D73"/>
    <mergeCell ref="B75:C75"/>
    <mergeCell ref="A97:C97"/>
    <mergeCell ref="A100:D100"/>
    <mergeCell ref="A1:D1"/>
    <mergeCell ref="A39:D39"/>
    <mergeCell ref="A50:B50"/>
    <mergeCell ref="A31:D31"/>
    <mergeCell ref="B33:C33"/>
    <mergeCell ref="B22:C22"/>
    <mergeCell ref="B23:C23"/>
    <mergeCell ref="B25:C25"/>
    <mergeCell ref="B24:C24"/>
    <mergeCell ref="A26:C26"/>
    <mergeCell ref="A8:D8"/>
    <mergeCell ref="B18:C18"/>
    <mergeCell ref="B19:C19"/>
    <mergeCell ref="B20:C20"/>
    <mergeCell ref="A3:D3"/>
    <mergeCell ref="A5:B5"/>
    <mergeCell ref="A88:D88"/>
    <mergeCell ref="B90:C90"/>
    <mergeCell ref="B58:C58"/>
    <mergeCell ref="B60:C60"/>
    <mergeCell ref="A61:C61"/>
    <mergeCell ref="A85:D85"/>
    <mergeCell ref="A82:C82"/>
    <mergeCell ref="B59:C59"/>
    <mergeCell ref="B102:C102"/>
    <mergeCell ref="A104:C104"/>
    <mergeCell ref="A107:D107"/>
    <mergeCell ref="B109:C109"/>
    <mergeCell ref="B110:C110"/>
    <mergeCell ref="B149:C149"/>
    <mergeCell ref="A150:C150"/>
    <mergeCell ref="A125:D125"/>
    <mergeCell ref="B103:C103"/>
    <mergeCell ref="B111:C111"/>
    <mergeCell ref="A112:C112"/>
    <mergeCell ref="A115:D115"/>
    <mergeCell ref="B117:C117"/>
    <mergeCell ref="A122:C122"/>
    <mergeCell ref="A137:B137"/>
    <mergeCell ref="A140:D140"/>
    <mergeCell ref="B142:C142"/>
    <mergeCell ref="B143:C143"/>
    <mergeCell ref="B144:C144"/>
    <mergeCell ref="B145:C145"/>
    <mergeCell ref="B146:C146"/>
    <mergeCell ref="A6:B6"/>
    <mergeCell ref="C11:D11"/>
    <mergeCell ref="A36:B36"/>
    <mergeCell ref="B21:C21"/>
    <mergeCell ref="C10:D10"/>
    <mergeCell ref="C12:D12"/>
    <mergeCell ref="C13:D13"/>
    <mergeCell ref="C14:D14"/>
    <mergeCell ref="A16:D16"/>
    <mergeCell ref="A29:D29"/>
  </mergeCells>
  <pageMargins left="0.51181102362204722" right="0.51181102362204722" top="1.102362204724409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zoomScaleNormal="115" zoomScaleSheetLayoutView="100" workbookViewId="0">
      <selection activeCell="D119" sqref="D119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1" t="s">
        <v>0</v>
      </c>
      <c r="B1" s="81"/>
      <c r="C1" s="81"/>
      <c r="D1" s="81"/>
    </row>
    <row r="2" spans="1:4" ht="15.75" x14ac:dyDescent="0.25">
      <c r="A2" s="26"/>
      <c r="B2" s="26"/>
      <c r="C2" s="26"/>
      <c r="D2" s="26"/>
    </row>
    <row r="3" spans="1:4" x14ac:dyDescent="0.2">
      <c r="A3" s="71" t="s">
        <v>88</v>
      </c>
      <c r="B3" s="71"/>
      <c r="C3" s="71"/>
      <c r="D3" s="71"/>
    </row>
    <row r="4" spans="1:4" x14ac:dyDescent="0.2">
      <c r="A4" s="2"/>
      <c r="B4" s="2"/>
      <c r="C4" s="2"/>
      <c r="D4" s="2"/>
    </row>
    <row r="5" spans="1:4" ht="38.25" x14ac:dyDescent="0.2">
      <c r="A5" s="83" t="s">
        <v>89</v>
      </c>
      <c r="B5" s="83"/>
      <c r="C5" s="32" t="s">
        <v>90</v>
      </c>
      <c r="D5" s="27" t="s">
        <v>91</v>
      </c>
    </row>
    <row r="6" spans="1:4" x14ac:dyDescent="0.2">
      <c r="A6" s="63" t="s">
        <v>114</v>
      </c>
      <c r="B6" s="63"/>
      <c r="C6" s="33" t="s">
        <v>100</v>
      </c>
      <c r="D6" s="33">
        <v>11</v>
      </c>
    </row>
    <row r="8" spans="1:4" x14ac:dyDescent="0.2">
      <c r="A8" s="71" t="s">
        <v>72</v>
      </c>
      <c r="B8" s="71"/>
      <c r="C8" s="71"/>
      <c r="D8" s="71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64" t="s">
        <v>106</v>
      </c>
      <c r="D10" s="65"/>
    </row>
    <row r="11" spans="1:4" x14ac:dyDescent="0.2">
      <c r="A11" s="5">
        <v>2</v>
      </c>
      <c r="B11" s="5" t="s">
        <v>92</v>
      </c>
      <c r="C11" s="64" t="s">
        <v>107</v>
      </c>
      <c r="D11" s="65"/>
    </row>
    <row r="12" spans="1:4" x14ac:dyDescent="0.2">
      <c r="A12" s="5">
        <v>3</v>
      </c>
      <c r="B12" s="5" t="s">
        <v>74</v>
      </c>
      <c r="C12" s="68">
        <v>1510.09</v>
      </c>
      <c r="D12" s="69"/>
    </row>
    <row r="13" spans="1:4" x14ac:dyDescent="0.2">
      <c r="A13" s="5">
        <v>4</v>
      </c>
      <c r="B13" s="5" t="s">
        <v>75</v>
      </c>
      <c r="C13" s="64" t="s">
        <v>101</v>
      </c>
      <c r="D13" s="65"/>
    </row>
    <row r="14" spans="1:4" x14ac:dyDescent="0.2">
      <c r="A14" s="5">
        <v>5</v>
      </c>
      <c r="B14" s="5" t="s">
        <v>76</v>
      </c>
      <c r="C14" s="70">
        <v>45657</v>
      </c>
      <c r="D14" s="65"/>
    </row>
    <row r="16" spans="1:4" x14ac:dyDescent="0.2">
      <c r="A16" s="71" t="s">
        <v>1</v>
      </c>
      <c r="B16" s="71"/>
      <c r="C16" s="71"/>
      <c r="D16" s="71"/>
    </row>
    <row r="18" spans="1:4" x14ac:dyDescent="0.2">
      <c r="A18" s="30">
        <v>1</v>
      </c>
      <c r="B18" s="66" t="s">
        <v>2</v>
      </c>
      <c r="C18" s="66"/>
      <c r="D18" s="30" t="s">
        <v>3</v>
      </c>
    </row>
    <row r="19" spans="1:4" x14ac:dyDescent="0.2">
      <c r="A19" s="32" t="s">
        <v>4</v>
      </c>
      <c r="B19" s="67" t="s">
        <v>5</v>
      </c>
      <c r="C19" s="67"/>
      <c r="D19" s="13">
        <v>1510.09</v>
      </c>
    </row>
    <row r="20" spans="1:4" x14ac:dyDescent="0.2">
      <c r="A20" s="32" t="s">
        <v>6</v>
      </c>
      <c r="B20" s="67" t="s">
        <v>7</v>
      </c>
      <c r="C20" s="67"/>
      <c r="D20" s="13"/>
    </row>
    <row r="21" spans="1:4" x14ac:dyDescent="0.2">
      <c r="A21" s="32" t="s">
        <v>8</v>
      </c>
      <c r="B21" s="67" t="s">
        <v>9</v>
      </c>
      <c r="C21" s="67"/>
      <c r="D21" s="13"/>
    </row>
    <row r="22" spans="1:4" x14ac:dyDescent="0.2">
      <c r="A22" s="32" t="s">
        <v>10</v>
      </c>
      <c r="B22" s="67" t="s">
        <v>11</v>
      </c>
      <c r="C22" s="67"/>
      <c r="D22" s="13"/>
    </row>
    <row r="23" spans="1:4" x14ac:dyDescent="0.2">
      <c r="A23" s="32" t="s">
        <v>12</v>
      </c>
      <c r="B23" s="67" t="s">
        <v>13</v>
      </c>
      <c r="C23" s="67"/>
      <c r="D23" s="13"/>
    </row>
    <row r="24" spans="1:4" x14ac:dyDescent="0.2">
      <c r="A24" s="32"/>
      <c r="B24" s="67"/>
      <c r="C24" s="67"/>
      <c r="D24" s="13"/>
    </row>
    <row r="25" spans="1:4" x14ac:dyDescent="0.2">
      <c r="A25" s="32" t="s">
        <v>14</v>
      </c>
      <c r="B25" s="67" t="s">
        <v>15</v>
      </c>
      <c r="C25" s="67"/>
      <c r="D25" s="13"/>
    </row>
    <row r="26" spans="1:4" x14ac:dyDescent="0.2">
      <c r="A26" s="66" t="s">
        <v>16</v>
      </c>
      <c r="B26" s="66"/>
      <c r="C26" s="66"/>
      <c r="D26" s="20">
        <f>SUM(D19:D25)</f>
        <v>1510.09</v>
      </c>
    </row>
    <row r="29" spans="1:4" x14ac:dyDescent="0.2">
      <c r="A29" s="72" t="s">
        <v>17</v>
      </c>
      <c r="B29" s="72"/>
      <c r="C29" s="72"/>
      <c r="D29" s="72"/>
    </row>
    <row r="30" spans="1:4" x14ac:dyDescent="0.2">
      <c r="A30" s="3"/>
    </row>
    <row r="31" spans="1:4" x14ac:dyDescent="0.2">
      <c r="A31" s="79" t="s">
        <v>18</v>
      </c>
      <c r="B31" s="79"/>
      <c r="C31" s="79"/>
      <c r="D31" s="79"/>
    </row>
    <row r="33" spans="1:4" x14ac:dyDescent="0.2">
      <c r="A33" s="30" t="s">
        <v>19</v>
      </c>
      <c r="B33" s="66" t="s">
        <v>20</v>
      </c>
      <c r="C33" s="66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125.79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167.77</v>
      </c>
    </row>
    <row r="36" spans="1:4" x14ac:dyDescent="0.2">
      <c r="A36" s="66" t="s">
        <v>16</v>
      </c>
      <c r="B36" s="66"/>
      <c r="C36" s="28">
        <f>SUM(C34:C35)</f>
        <v>0.19440000000000002</v>
      </c>
      <c r="D36" s="19">
        <f>SUM(D34:D35)</f>
        <v>293.56</v>
      </c>
    </row>
    <row r="39" spans="1:4" x14ac:dyDescent="0.2">
      <c r="A39" s="82" t="s">
        <v>23</v>
      </c>
      <c r="B39" s="82"/>
      <c r="C39" s="82"/>
      <c r="D39" s="82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360.73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45.09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54.1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27.05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18.03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10.82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3.6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144.29</v>
      </c>
    </row>
    <row r="50" spans="1:4" x14ac:dyDescent="0.2">
      <c r="A50" s="66" t="s">
        <v>37</v>
      </c>
      <c r="B50" s="66"/>
      <c r="C50" s="15">
        <f>SUM(C42:C49)</f>
        <v>0.36800000000000005</v>
      </c>
      <c r="D50" s="19">
        <f>SUM(D42:D49)</f>
        <v>663.71000000000015</v>
      </c>
    </row>
    <row r="53" spans="1:4" x14ac:dyDescent="0.2">
      <c r="A53" s="79" t="s">
        <v>38</v>
      </c>
      <c r="B53" s="79"/>
      <c r="C53" s="79"/>
      <c r="D53" s="79"/>
    </row>
    <row r="55" spans="1:4" x14ac:dyDescent="0.2">
      <c r="A55" s="30" t="s">
        <v>39</v>
      </c>
      <c r="B55" s="78" t="s">
        <v>40</v>
      </c>
      <c r="C55" s="78"/>
      <c r="D55" s="30" t="s">
        <v>3</v>
      </c>
    </row>
    <row r="56" spans="1:4" x14ac:dyDescent="0.2">
      <c r="A56" s="32" t="s">
        <v>4</v>
      </c>
      <c r="B56" s="67" t="s">
        <v>41</v>
      </c>
      <c r="C56" s="67"/>
      <c r="D56" s="13">
        <f>IF((22*2*5.2)-(D19*0.06)&gt;0,(22*2*5.2)-(D19*0.06),0)</f>
        <v>138.19460000000004</v>
      </c>
    </row>
    <row r="57" spans="1:4" x14ac:dyDescent="0.2">
      <c r="A57" s="32" t="s">
        <v>6</v>
      </c>
      <c r="B57" s="67" t="s">
        <v>42</v>
      </c>
      <c r="C57" s="67"/>
      <c r="D57" s="13">
        <v>0</v>
      </c>
    </row>
    <row r="58" spans="1:4" x14ac:dyDescent="0.2">
      <c r="A58" s="32" t="s">
        <v>8</v>
      </c>
      <c r="B58" s="67" t="s">
        <v>103</v>
      </c>
      <c r="C58" s="67"/>
      <c r="D58" s="13">
        <v>170</v>
      </c>
    </row>
    <row r="59" spans="1:4" x14ac:dyDescent="0.2">
      <c r="A59" s="32" t="s">
        <v>10</v>
      </c>
      <c r="B59" s="67" t="s">
        <v>104</v>
      </c>
      <c r="C59" s="67"/>
      <c r="D59" s="13">
        <v>14</v>
      </c>
    </row>
    <row r="60" spans="1:4" x14ac:dyDescent="0.2">
      <c r="A60" s="32" t="s">
        <v>10</v>
      </c>
      <c r="B60" s="67" t="s">
        <v>105</v>
      </c>
      <c r="C60" s="67"/>
      <c r="D60" s="13">
        <v>4.4800000000000004</v>
      </c>
    </row>
    <row r="61" spans="1:4" x14ac:dyDescent="0.2">
      <c r="A61" s="66" t="s">
        <v>16</v>
      </c>
      <c r="B61" s="66"/>
      <c r="C61" s="66"/>
      <c r="D61" s="19">
        <f>SUM(D56:D60)</f>
        <v>326.67460000000005</v>
      </c>
    </row>
    <row r="64" spans="1:4" x14ac:dyDescent="0.2">
      <c r="A64" s="79" t="s">
        <v>43</v>
      </c>
      <c r="B64" s="79"/>
      <c r="C64" s="79"/>
      <c r="D64" s="79"/>
    </row>
    <row r="66" spans="1:5" x14ac:dyDescent="0.2">
      <c r="A66" s="30">
        <v>2</v>
      </c>
      <c r="B66" s="78" t="s">
        <v>44</v>
      </c>
      <c r="C66" s="78"/>
      <c r="D66" s="30" t="s">
        <v>3</v>
      </c>
    </row>
    <row r="67" spans="1:5" x14ac:dyDescent="0.2">
      <c r="A67" s="32" t="s">
        <v>19</v>
      </c>
      <c r="B67" s="67" t="s">
        <v>20</v>
      </c>
      <c r="C67" s="67"/>
      <c r="D67" s="14">
        <f>D36</f>
        <v>293.56</v>
      </c>
    </row>
    <row r="68" spans="1:5" x14ac:dyDescent="0.2">
      <c r="A68" s="32" t="s">
        <v>24</v>
      </c>
      <c r="B68" s="67" t="s">
        <v>25</v>
      </c>
      <c r="C68" s="67"/>
      <c r="D68" s="14">
        <f>D50</f>
        <v>663.71000000000015</v>
      </c>
    </row>
    <row r="69" spans="1:5" x14ac:dyDescent="0.2">
      <c r="A69" s="32" t="s">
        <v>39</v>
      </c>
      <c r="B69" s="67" t="s">
        <v>40</v>
      </c>
      <c r="C69" s="67"/>
      <c r="D69" s="14">
        <f>D61</f>
        <v>326.67460000000005</v>
      </c>
    </row>
    <row r="70" spans="1:5" x14ac:dyDescent="0.2">
      <c r="A70" s="66" t="s">
        <v>16</v>
      </c>
      <c r="B70" s="66"/>
      <c r="C70" s="66"/>
      <c r="D70" s="19">
        <f>SUM(D67:D69)</f>
        <v>1283.9446000000003</v>
      </c>
    </row>
    <row r="71" spans="1:5" x14ac:dyDescent="0.2">
      <c r="A71" s="4"/>
      <c r="E71" s="18"/>
    </row>
    <row r="73" spans="1:5" x14ac:dyDescent="0.2">
      <c r="A73" s="72" t="s">
        <v>45</v>
      </c>
      <c r="B73" s="72"/>
      <c r="C73" s="72"/>
      <c r="D73" s="72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8" t="s">
        <v>46</v>
      </c>
      <c r="C75" s="78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TRUNC(((1/12)*5%),4)*0</f>
        <v>0</v>
      </c>
      <c r="D76" s="13">
        <f>TRUNC($D$26*C76,2)</f>
        <v>0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</v>
      </c>
    </row>
    <row r="78" spans="1:5" x14ac:dyDescent="0.2">
      <c r="A78" s="32" t="s">
        <v>8</v>
      </c>
      <c r="B78" s="10" t="s">
        <v>98</v>
      </c>
      <c r="C78" s="9">
        <f>TRUNC(8%*5%*40%,4)*0</f>
        <v>0</v>
      </c>
      <c r="D78" s="13">
        <f>TRUNC($D$26*C78,2)</f>
        <v>0</v>
      </c>
    </row>
    <row r="79" spans="1:5" x14ac:dyDescent="0.2">
      <c r="A79" s="32" t="s">
        <v>10</v>
      </c>
      <c r="B79" s="10" t="s">
        <v>49</v>
      </c>
      <c r="C79" s="9">
        <f>TRUNC(((7/30)/12)*95%,4)*0</f>
        <v>0</v>
      </c>
      <c r="D79" s="13">
        <f>TRUNC($D$26*C79,2)</f>
        <v>0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0</v>
      </c>
    </row>
    <row r="81" spans="1:4" x14ac:dyDescent="0.2">
      <c r="A81" s="32" t="s">
        <v>32</v>
      </c>
      <c r="B81" s="10" t="s">
        <v>99</v>
      </c>
      <c r="C81" s="9">
        <f>TRUNC(8%*95%*40%,4)*0</f>
        <v>0</v>
      </c>
      <c r="D81" s="13">
        <f t="shared" ref="D81" si="1">TRUNC($D$26*C81,2)</f>
        <v>0</v>
      </c>
    </row>
    <row r="82" spans="1:4" x14ac:dyDescent="0.2">
      <c r="A82" s="76" t="s">
        <v>16</v>
      </c>
      <c r="B82" s="77"/>
      <c r="C82" s="80"/>
      <c r="D82" s="19">
        <f>SUM(D76:D81)</f>
        <v>0</v>
      </c>
    </row>
    <row r="85" spans="1:4" x14ac:dyDescent="0.2">
      <c r="A85" s="72" t="s">
        <v>50</v>
      </c>
      <c r="B85" s="72"/>
      <c r="C85" s="72"/>
      <c r="D85" s="72"/>
    </row>
    <row r="88" spans="1:4" x14ac:dyDescent="0.2">
      <c r="A88" s="79" t="s">
        <v>77</v>
      </c>
      <c r="B88" s="79"/>
      <c r="C88" s="79"/>
      <c r="D88" s="79"/>
    </row>
    <row r="89" spans="1:4" x14ac:dyDescent="0.2">
      <c r="A89" s="3"/>
    </row>
    <row r="90" spans="1:4" x14ac:dyDescent="0.2">
      <c r="A90" s="30" t="s">
        <v>51</v>
      </c>
      <c r="B90" s="78" t="s">
        <v>78</v>
      </c>
      <c r="C90" s="78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TRUNC(((1+1/3)/12)/12,4)*0</f>
        <v>0</v>
      </c>
      <c r="D91" s="13">
        <f>TRUNC(($D$26+$D$70+$D$82)*C91,2)</f>
        <v>0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15.36</v>
      </c>
    </row>
    <row r="93" spans="1:4" x14ac:dyDescent="0.2">
      <c r="A93" s="32" t="s">
        <v>8</v>
      </c>
      <c r="B93" s="29" t="s">
        <v>81</v>
      </c>
      <c r="C93" s="9">
        <f>TRUNC(((5/30)/12)*2%,4)*0</f>
        <v>0</v>
      </c>
      <c r="D93" s="13">
        <f t="shared" si="2"/>
        <v>0</v>
      </c>
    </row>
    <row r="94" spans="1:4" x14ac:dyDescent="0.2">
      <c r="A94" s="32" t="s">
        <v>10</v>
      </c>
      <c r="B94" s="29" t="s">
        <v>82</v>
      </c>
      <c r="C94" s="9">
        <f>TRUNC(((15/30)/12)*8%,4)*0</f>
        <v>0</v>
      </c>
      <c r="D94" s="13">
        <f t="shared" si="2"/>
        <v>0</v>
      </c>
    </row>
    <row r="95" spans="1:4" x14ac:dyDescent="0.2">
      <c r="A95" s="32" t="s">
        <v>12</v>
      </c>
      <c r="B95" s="29" t="s">
        <v>83</v>
      </c>
      <c r="C95" s="9">
        <f>((1+1/3)/12)*3%*(4/12)*0</f>
        <v>0</v>
      </c>
      <c r="D95" s="13">
        <f t="shared" si="2"/>
        <v>0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66" t="s">
        <v>37</v>
      </c>
      <c r="B97" s="66"/>
      <c r="C97" s="66"/>
      <c r="D97" s="19">
        <f>SUM(D91:D96)</f>
        <v>15.36</v>
      </c>
      <c r="E97" s="17"/>
      <c r="F97" s="17"/>
    </row>
    <row r="100" spans="1:6" x14ac:dyDescent="0.2">
      <c r="A100" s="79" t="s">
        <v>85</v>
      </c>
      <c r="B100" s="79"/>
      <c r="C100" s="79"/>
      <c r="D100" s="79"/>
    </row>
    <row r="101" spans="1:6" x14ac:dyDescent="0.2">
      <c r="A101" s="3"/>
    </row>
    <row r="102" spans="1:6" x14ac:dyDescent="0.2">
      <c r="A102" s="30" t="s">
        <v>52</v>
      </c>
      <c r="B102" s="78" t="s">
        <v>86</v>
      </c>
      <c r="C102" s="78"/>
      <c r="D102" s="30" t="s">
        <v>3</v>
      </c>
    </row>
    <row r="103" spans="1:6" x14ac:dyDescent="0.2">
      <c r="A103" s="32" t="s">
        <v>4</v>
      </c>
      <c r="B103" s="73" t="s">
        <v>87</v>
      </c>
      <c r="C103" s="74"/>
      <c r="D103" s="13">
        <f>((D26+D70+D82)/220)*22*0</f>
        <v>0</v>
      </c>
    </row>
    <row r="104" spans="1:6" x14ac:dyDescent="0.2">
      <c r="A104" s="66" t="s">
        <v>16</v>
      </c>
      <c r="B104" s="66"/>
      <c r="C104" s="66"/>
      <c r="D104" s="19">
        <f>SUM(D103)</f>
        <v>0</v>
      </c>
    </row>
    <row r="107" spans="1:6" x14ac:dyDescent="0.2">
      <c r="A107" s="79" t="s">
        <v>53</v>
      </c>
      <c r="B107" s="79"/>
      <c r="C107" s="79"/>
      <c r="D107" s="79"/>
    </row>
    <row r="108" spans="1:6" x14ac:dyDescent="0.2">
      <c r="A108" s="3"/>
    </row>
    <row r="109" spans="1:6" x14ac:dyDescent="0.2">
      <c r="A109" s="30">
        <v>4</v>
      </c>
      <c r="B109" s="66" t="s">
        <v>54</v>
      </c>
      <c r="C109" s="66"/>
      <c r="D109" s="30" t="s">
        <v>3</v>
      </c>
    </row>
    <row r="110" spans="1:6" x14ac:dyDescent="0.2">
      <c r="A110" s="32" t="s">
        <v>51</v>
      </c>
      <c r="B110" s="67" t="s">
        <v>78</v>
      </c>
      <c r="C110" s="67"/>
      <c r="D110" s="14">
        <f>D97</f>
        <v>15.36</v>
      </c>
    </row>
    <row r="111" spans="1:6" x14ac:dyDescent="0.2">
      <c r="A111" s="32" t="s">
        <v>52</v>
      </c>
      <c r="B111" s="67" t="s">
        <v>86</v>
      </c>
      <c r="C111" s="67"/>
      <c r="D111" s="14">
        <f>D104</f>
        <v>0</v>
      </c>
    </row>
    <row r="112" spans="1:6" x14ac:dyDescent="0.2">
      <c r="A112" s="66" t="s">
        <v>16</v>
      </c>
      <c r="B112" s="66"/>
      <c r="C112" s="66"/>
      <c r="D112" s="19">
        <f>SUM(D110:D111)</f>
        <v>15.36</v>
      </c>
    </row>
    <row r="115" spans="1:4" x14ac:dyDescent="0.2">
      <c r="A115" s="72" t="s">
        <v>55</v>
      </c>
      <c r="B115" s="72"/>
      <c r="C115" s="72"/>
      <c r="D115" s="72"/>
    </row>
    <row r="117" spans="1:4" x14ac:dyDescent="0.2">
      <c r="A117" s="30">
        <v>5</v>
      </c>
      <c r="B117" s="75" t="s">
        <v>56</v>
      </c>
      <c r="C117" s="75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f>ROUND(257.25/12*(365/61),2)</f>
        <v>128.27000000000001</v>
      </c>
    </row>
    <row r="119" spans="1:4" x14ac:dyDescent="0.2">
      <c r="A119" s="32" t="s">
        <v>6</v>
      </c>
      <c r="B119" s="29" t="s">
        <v>58</v>
      </c>
      <c r="C119" s="29"/>
      <c r="D119" s="13"/>
    </row>
    <row r="120" spans="1:4" x14ac:dyDescent="0.2">
      <c r="A120" s="32" t="s">
        <v>8</v>
      </c>
      <c r="B120" s="29" t="s">
        <v>59</v>
      </c>
      <c r="C120" s="29"/>
      <c r="D120" s="13"/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66" t="s">
        <v>37</v>
      </c>
      <c r="B122" s="66"/>
      <c r="C122" s="66"/>
      <c r="D122" s="20">
        <f>SUM(D118:D121)</f>
        <v>128.27000000000001</v>
      </c>
    </row>
    <row r="125" spans="1:4" x14ac:dyDescent="0.2">
      <c r="A125" s="72" t="s">
        <v>60</v>
      </c>
      <c r="B125" s="72"/>
      <c r="C125" s="72"/>
      <c r="D125" s="72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0.05</v>
      </c>
      <c r="D128" s="14">
        <f>D148*C128</f>
        <v>146.88323</v>
      </c>
    </row>
    <row r="129" spans="1:4" x14ac:dyDescent="0.2">
      <c r="A129" s="32" t="s">
        <v>6</v>
      </c>
      <c r="B129" s="29" t="s">
        <v>63</v>
      </c>
      <c r="C129" s="9">
        <v>0.06</v>
      </c>
      <c r="D129" s="13">
        <f>(D148+D128)*C129</f>
        <v>185.07286979999998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309.60283583218387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23.264929999999996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107.3766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178.96100000000001</v>
      </c>
    </row>
    <row r="137" spans="1:4" ht="13.5" x14ac:dyDescent="0.2">
      <c r="A137" s="76" t="s">
        <v>37</v>
      </c>
      <c r="B137" s="77"/>
      <c r="C137" s="21">
        <f>(1+C129)*(1+C128)/(1-C130)-1</f>
        <v>0.21839080459770144</v>
      </c>
      <c r="D137" s="19">
        <f>SUM(D128:D130)</f>
        <v>641.55893563218387</v>
      </c>
    </row>
    <row r="140" spans="1:4" x14ac:dyDescent="0.2">
      <c r="A140" s="72" t="s">
        <v>68</v>
      </c>
      <c r="B140" s="72"/>
      <c r="C140" s="72"/>
      <c r="D140" s="72"/>
    </row>
    <row r="142" spans="1:4" x14ac:dyDescent="0.2">
      <c r="A142" s="30"/>
      <c r="B142" s="66" t="s">
        <v>69</v>
      </c>
      <c r="C142" s="66"/>
      <c r="D142" s="30" t="s">
        <v>3</v>
      </c>
    </row>
    <row r="143" spans="1:4" x14ac:dyDescent="0.2">
      <c r="A143" s="30" t="s">
        <v>4</v>
      </c>
      <c r="B143" s="67" t="s">
        <v>1</v>
      </c>
      <c r="C143" s="67"/>
      <c r="D143" s="22">
        <f>D26</f>
        <v>1510.09</v>
      </c>
    </row>
    <row r="144" spans="1:4" x14ac:dyDescent="0.2">
      <c r="A144" s="30" t="s">
        <v>6</v>
      </c>
      <c r="B144" s="67" t="s">
        <v>17</v>
      </c>
      <c r="C144" s="67"/>
      <c r="D144" s="22">
        <f>D70</f>
        <v>1283.9446000000003</v>
      </c>
    </row>
    <row r="145" spans="1:4" x14ac:dyDescent="0.2">
      <c r="A145" s="30" t="s">
        <v>8</v>
      </c>
      <c r="B145" s="67" t="s">
        <v>45</v>
      </c>
      <c r="C145" s="67"/>
      <c r="D145" s="22">
        <f>D82</f>
        <v>0</v>
      </c>
    </row>
    <row r="146" spans="1:4" x14ac:dyDescent="0.2">
      <c r="A146" s="30" t="s">
        <v>10</v>
      </c>
      <c r="B146" s="67" t="s">
        <v>50</v>
      </c>
      <c r="C146" s="67"/>
      <c r="D146" s="22">
        <f>D112</f>
        <v>15.36</v>
      </c>
    </row>
    <row r="147" spans="1:4" x14ac:dyDescent="0.2">
      <c r="A147" s="30" t="s">
        <v>12</v>
      </c>
      <c r="B147" s="67" t="s">
        <v>55</v>
      </c>
      <c r="C147" s="67"/>
      <c r="D147" s="22">
        <f>D122</f>
        <v>128.27000000000001</v>
      </c>
    </row>
    <row r="148" spans="1:4" x14ac:dyDescent="0.2">
      <c r="A148" s="66" t="s">
        <v>94</v>
      </c>
      <c r="B148" s="66"/>
      <c r="C148" s="66"/>
      <c r="D148" s="23">
        <f>SUM(D143:D147)</f>
        <v>2937.6646000000001</v>
      </c>
    </row>
    <row r="149" spans="1:4" x14ac:dyDescent="0.2">
      <c r="A149" s="30" t="s">
        <v>32</v>
      </c>
      <c r="B149" s="67" t="s">
        <v>70</v>
      </c>
      <c r="C149" s="67"/>
      <c r="D149" s="24">
        <f>D137</f>
        <v>641.55893563218387</v>
      </c>
    </row>
    <row r="150" spans="1:4" x14ac:dyDescent="0.2">
      <c r="A150" s="66" t="s">
        <v>71</v>
      </c>
      <c r="B150" s="66"/>
      <c r="C150" s="66"/>
      <c r="D150" s="23">
        <f>ROUND(SUM(D148:D149),2)</f>
        <v>3579.22</v>
      </c>
    </row>
  </sheetData>
  <mergeCells count="71">
    <mergeCell ref="B146:C146"/>
    <mergeCell ref="B147:C147"/>
    <mergeCell ref="A148:C148"/>
    <mergeCell ref="B149:C149"/>
    <mergeCell ref="A150:C150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C10:D10"/>
    <mergeCell ref="A1:D1"/>
    <mergeCell ref="A3:D3"/>
    <mergeCell ref="A5:B5"/>
    <mergeCell ref="A6:B6"/>
    <mergeCell ref="A8:D8"/>
  </mergeCells>
  <pageMargins left="0.51181102362204722" right="0.51181102362204722" top="1.102362204724409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zoomScaleNormal="115" zoomScaleSheetLayoutView="100" workbookViewId="0">
      <selection activeCell="A7" sqref="A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1" t="s">
        <v>0</v>
      </c>
      <c r="B1" s="81"/>
      <c r="C1" s="81"/>
      <c r="D1" s="81"/>
    </row>
    <row r="2" spans="1:4" ht="15.75" x14ac:dyDescent="0.25">
      <c r="A2" s="26"/>
      <c r="B2" s="26"/>
      <c r="C2" s="26"/>
      <c r="D2" s="26"/>
    </row>
    <row r="3" spans="1:4" x14ac:dyDescent="0.2">
      <c r="A3" s="71" t="s">
        <v>88</v>
      </c>
      <c r="B3" s="71"/>
      <c r="C3" s="71"/>
      <c r="D3" s="71"/>
    </row>
    <row r="4" spans="1:4" x14ac:dyDescent="0.2">
      <c r="A4" s="2"/>
      <c r="B4" s="2"/>
      <c r="C4" s="2"/>
      <c r="D4" s="2"/>
    </row>
    <row r="5" spans="1:4" ht="38.25" x14ac:dyDescent="0.2">
      <c r="A5" s="83" t="s">
        <v>89</v>
      </c>
      <c r="B5" s="83"/>
      <c r="C5" s="32" t="s">
        <v>90</v>
      </c>
      <c r="D5" s="27" t="s">
        <v>91</v>
      </c>
    </row>
    <row r="6" spans="1:4" x14ac:dyDescent="0.2">
      <c r="A6" s="63" t="s">
        <v>164</v>
      </c>
      <c r="B6" s="63"/>
      <c r="C6" s="33" t="s">
        <v>100</v>
      </c>
      <c r="D6" s="33">
        <v>2</v>
      </c>
    </row>
    <row r="8" spans="1:4" x14ac:dyDescent="0.2">
      <c r="A8" s="71" t="s">
        <v>72</v>
      </c>
      <c r="B8" s="71"/>
      <c r="C8" s="71"/>
      <c r="D8" s="71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64" t="s">
        <v>108</v>
      </c>
      <c r="D10" s="65"/>
    </row>
    <row r="11" spans="1:4" x14ac:dyDescent="0.2">
      <c r="A11" s="5">
        <v>2</v>
      </c>
      <c r="B11" s="5" t="s">
        <v>92</v>
      </c>
      <c r="C11" s="64" t="s">
        <v>107</v>
      </c>
      <c r="D11" s="65"/>
    </row>
    <row r="12" spans="1:4" x14ac:dyDescent="0.2">
      <c r="A12" s="5">
        <v>3</v>
      </c>
      <c r="B12" s="5" t="s">
        <v>74</v>
      </c>
      <c r="C12" s="68">
        <v>1854.71</v>
      </c>
      <c r="D12" s="69"/>
    </row>
    <row r="13" spans="1:4" x14ac:dyDescent="0.2">
      <c r="A13" s="5">
        <v>4</v>
      </c>
      <c r="B13" s="5" t="s">
        <v>75</v>
      </c>
      <c r="C13" s="64" t="s">
        <v>101</v>
      </c>
      <c r="D13" s="65"/>
    </row>
    <row r="14" spans="1:4" x14ac:dyDescent="0.2">
      <c r="A14" s="5">
        <v>5</v>
      </c>
      <c r="B14" s="5" t="s">
        <v>76</v>
      </c>
      <c r="C14" s="70">
        <v>45657</v>
      </c>
      <c r="D14" s="65"/>
    </row>
    <row r="16" spans="1:4" x14ac:dyDescent="0.2">
      <c r="A16" s="71" t="s">
        <v>1</v>
      </c>
      <c r="B16" s="71"/>
      <c r="C16" s="71"/>
      <c r="D16" s="71"/>
    </row>
    <row r="18" spans="1:4" x14ac:dyDescent="0.2">
      <c r="A18" s="30">
        <v>1</v>
      </c>
      <c r="B18" s="66" t="s">
        <v>2</v>
      </c>
      <c r="C18" s="66"/>
      <c r="D18" s="30" t="s">
        <v>3</v>
      </c>
    </row>
    <row r="19" spans="1:4" x14ac:dyDescent="0.2">
      <c r="A19" s="32" t="s">
        <v>4</v>
      </c>
      <c r="B19" s="67" t="s">
        <v>5</v>
      </c>
      <c r="C19" s="67"/>
      <c r="D19" s="13">
        <v>1854.71</v>
      </c>
    </row>
    <row r="20" spans="1:4" x14ac:dyDescent="0.2">
      <c r="A20" s="32" t="s">
        <v>6</v>
      </c>
      <c r="B20" s="67" t="s">
        <v>7</v>
      </c>
      <c r="C20" s="67"/>
      <c r="D20" s="13"/>
    </row>
    <row r="21" spans="1:4" x14ac:dyDescent="0.2">
      <c r="A21" s="32" t="s">
        <v>8</v>
      </c>
      <c r="B21" s="67" t="s">
        <v>9</v>
      </c>
      <c r="C21" s="67"/>
      <c r="D21" s="13"/>
    </row>
    <row r="22" spans="1:4" x14ac:dyDescent="0.2">
      <c r="A22" s="32" t="s">
        <v>10</v>
      </c>
      <c r="B22" s="67" t="s">
        <v>11</v>
      </c>
      <c r="C22" s="67"/>
      <c r="D22" s="13"/>
    </row>
    <row r="23" spans="1:4" x14ac:dyDescent="0.2">
      <c r="A23" s="32" t="s">
        <v>12</v>
      </c>
      <c r="B23" s="67" t="s">
        <v>13</v>
      </c>
      <c r="C23" s="67"/>
      <c r="D23" s="13"/>
    </row>
    <row r="24" spans="1:4" x14ac:dyDescent="0.2">
      <c r="A24" s="32"/>
      <c r="B24" s="67"/>
      <c r="C24" s="67"/>
      <c r="D24" s="13"/>
    </row>
    <row r="25" spans="1:4" x14ac:dyDescent="0.2">
      <c r="A25" s="32" t="s">
        <v>14</v>
      </c>
      <c r="B25" s="67" t="s">
        <v>15</v>
      </c>
      <c r="C25" s="67"/>
      <c r="D25" s="13"/>
    </row>
    <row r="26" spans="1:4" x14ac:dyDescent="0.2">
      <c r="A26" s="66" t="s">
        <v>16</v>
      </c>
      <c r="B26" s="66"/>
      <c r="C26" s="66"/>
      <c r="D26" s="20">
        <f>SUM(D19:D25)</f>
        <v>1854.71</v>
      </c>
    </row>
    <row r="29" spans="1:4" x14ac:dyDescent="0.2">
      <c r="A29" s="72" t="s">
        <v>17</v>
      </c>
      <c r="B29" s="72"/>
      <c r="C29" s="72"/>
      <c r="D29" s="72"/>
    </row>
    <row r="30" spans="1:4" x14ac:dyDescent="0.2">
      <c r="A30" s="3"/>
    </row>
    <row r="31" spans="1:4" x14ac:dyDescent="0.2">
      <c r="A31" s="79" t="s">
        <v>18</v>
      </c>
      <c r="B31" s="79"/>
      <c r="C31" s="79"/>
      <c r="D31" s="79"/>
    </row>
    <row r="33" spans="1:4" x14ac:dyDescent="0.2">
      <c r="A33" s="30" t="s">
        <v>19</v>
      </c>
      <c r="B33" s="66" t="s">
        <v>20</v>
      </c>
      <c r="C33" s="66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154.49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206.05</v>
      </c>
    </row>
    <row r="36" spans="1:4" x14ac:dyDescent="0.2">
      <c r="A36" s="66" t="s">
        <v>16</v>
      </c>
      <c r="B36" s="66"/>
      <c r="C36" s="28">
        <f>SUM(C34:C35)</f>
        <v>0.19440000000000002</v>
      </c>
      <c r="D36" s="19">
        <f>SUM(D34:D35)</f>
        <v>360.54</v>
      </c>
    </row>
    <row r="39" spans="1:4" x14ac:dyDescent="0.2">
      <c r="A39" s="82" t="s">
        <v>23</v>
      </c>
      <c r="B39" s="82"/>
      <c r="C39" s="82"/>
      <c r="D39" s="82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443.05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55.38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66.45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33.22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22.15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13.29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4.43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177.22</v>
      </c>
    </row>
    <row r="50" spans="1:4" x14ac:dyDescent="0.2">
      <c r="A50" s="66" t="s">
        <v>37</v>
      </c>
      <c r="B50" s="66"/>
      <c r="C50" s="15">
        <f>SUM(C42:C49)</f>
        <v>0.36800000000000005</v>
      </c>
      <c r="D50" s="19">
        <f>SUM(D42:D49)</f>
        <v>815.18999999999994</v>
      </c>
    </row>
    <row r="53" spans="1:4" x14ac:dyDescent="0.2">
      <c r="A53" s="79" t="s">
        <v>38</v>
      </c>
      <c r="B53" s="79"/>
      <c r="C53" s="79"/>
      <c r="D53" s="79"/>
    </row>
    <row r="55" spans="1:4" x14ac:dyDescent="0.2">
      <c r="A55" s="30" t="s">
        <v>39</v>
      </c>
      <c r="B55" s="78" t="s">
        <v>40</v>
      </c>
      <c r="C55" s="78"/>
      <c r="D55" s="30" t="s">
        <v>3</v>
      </c>
    </row>
    <row r="56" spans="1:4" x14ac:dyDescent="0.2">
      <c r="A56" s="32" t="s">
        <v>4</v>
      </c>
      <c r="B56" s="67" t="s">
        <v>41</v>
      </c>
      <c r="C56" s="67"/>
      <c r="D56" s="13">
        <f>IF((22*2*5.2)-(D19*0.06)&gt;0,(22*2*5.2)-(D19*0.06),0)</f>
        <v>117.51740000000001</v>
      </c>
    </row>
    <row r="57" spans="1:4" x14ac:dyDescent="0.2">
      <c r="A57" s="32" t="s">
        <v>6</v>
      </c>
      <c r="B57" s="67" t="s">
        <v>42</v>
      </c>
      <c r="C57" s="67"/>
      <c r="D57" s="13">
        <v>0</v>
      </c>
    </row>
    <row r="58" spans="1:4" x14ac:dyDescent="0.2">
      <c r="A58" s="32" t="s">
        <v>8</v>
      </c>
      <c r="B58" s="67" t="s">
        <v>103</v>
      </c>
      <c r="C58" s="67"/>
      <c r="D58" s="13">
        <v>170</v>
      </c>
    </row>
    <row r="59" spans="1:4" x14ac:dyDescent="0.2">
      <c r="A59" s="32" t="s">
        <v>10</v>
      </c>
      <c r="B59" s="67" t="s">
        <v>104</v>
      </c>
      <c r="C59" s="67"/>
      <c r="D59" s="13">
        <v>14</v>
      </c>
    </row>
    <row r="60" spans="1:4" x14ac:dyDescent="0.2">
      <c r="A60" s="32" t="s">
        <v>10</v>
      </c>
      <c r="B60" s="67" t="s">
        <v>105</v>
      </c>
      <c r="C60" s="67"/>
      <c r="D60" s="13">
        <v>4.4800000000000004</v>
      </c>
    </row>
    <row r="61" spans="1:4" x14ac:dyDescent="0.2">
      <c r="A61" s="66" t="s">
        <v>16</v>
      </c>
      <c r="B61" s="66"/>
      <c r="C61" s="66"/>
      <c r="D61" s="19">
        <f>SUM(D56:D60)</f>
        <v>305.99740000000003</v>
      </c>
    </row>
    <row r="64" spans="1:4" x14ac:dyDescent="0.2">
      <c r="A64" s="79" t="s">
        <v>43</v>
      </c>
      <c r="B64" s="79"/>
      <c r="C64" s="79"/>
      <c r="D64" s="79"/>
    </row>
    <row r="66" spans="1:5" x14ac:dyDescent="0.2">
      <c r="A66" s="30">
        <v>2</v>
      </c>
      <c r="B66" s="78" t="s">
        <v>44</v>
      </c>
      <c r="C66" s="78"/>
      <c r="D66" s="30" t="s">
        <v>3</v>
      </c>
    </row>
    <row r="67" spans="1:5" x14ac:dyDescent="0.2">
      <c r="A67" s="32" t="s">
        <v>19</v>
      </c>
      <c r="B67" s="67" t="s">
        <v>20</v>
      </c>
      <c r="C67" s="67"/>
      <c r="D67" s="14">
        <f>D36</f>
        <v>360.54</v>
      </c>
    </row>
    <row r="68" spans="1:5" x14ac:dyDescent="0.2">
      <c r="A68" s="32" t="s">
        <v>24</v>
      </c>
      <c r="B68" s="67" t="s">
        <v>25</v>
      </c>
      <c r="C68" s="67"/>
      <c r="D68" s="14">
        <f>D50</f>
        <v>815.18999999999994</v>
      </c>
    </row>
    <row r="69" spans="1:5" x14ac:dyDescent="0.2">
      <c r="A69" s="32" t="s">
        <v>39</v>
      </c>
      <c r="B69" s="67" t="s">
        <v>40</v>
      </c>
      <c r="C69" s="67"/>
      <c r="D69" s="14">
        <f>D61</f>
        <v>305.99740000000003</v>
      </c>
    </row>
    <row r="70" spans="1:5" x14ac:dyDescent="0.2">
      <c r="A70" s="66" t="s">
        <v>16</v>
      </c>
      <c r="B70" s="66"/>
      <c r="C70" s="66"/>
      <c r="D70" s="19">
        <f>SUM(D67:D69)</f>
        <v>1481.7274</v>
      </c>
    </row>
    <row r="71" spans="1:5" x14ac:dyDescent="0.2">
      <c r="A71" s="4"/>
      <c r="E71" s="18"/>
    </row>
    <row r="73" spans="1:5" x14ac:dyDescent="0.2">
      <c r="A73" s="72" t="s">
        <v>45</v>
      </c>
      <c r="B73" s="72"/>
      <c r="C73" s="72"/>
      <c r="D73" s="72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8" t="s">
        <v>46</v>
      </c>
      <c r="C75" s="78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TRUNC(((1/12)*5%),4)*0</f>
        <v>0</v>
      </c>
      <c r="D76" s="13">
        <f>TRUNC($D$26*C76,2)</f>
        <v>0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</v>
      </c>
    </row>
    <row r="78" spans="1:5" x14ac:dyDescent="0.2">
      <c r="A78" s="32" t="s">
        <v>8</v>
      </c>
      <c r="B78" s="10" t="s">
        <v>98</v>
      </c>
      <c r="C78" s="9">
        <f>TRUNC(8%*5%*40%,4)*0</f>
        <v>0</v>
      </c>
      <c r="D78" s="13">
        <f>TRUNC($D$26*C78,2)</f>
        <v>0</v>
      </c>
    </row>
    <row r="79" spans="1:5" x14ac:dyDescent="0.2">
      <c r="A79" s="32" t="s">
        <v>10</v>
      </c>
      <c r="B79" s="10" t="s">
        <v>49</v>
      </c>
      <c r="C79" s="9">
        <f>TRUNC(((7/30)/12)*95%,4)*0</f>
        <v>0</v>
      </c>
      <c r="D79" s="13">
        <f>TRUNC($D$26*C79,2)</f>
        <v>0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0</v>
      </c>
    </row>
    <row r="81" spans="1:4" x14ac:dyDescent="0.2">
      <c r="A81" s="32" t="s">
        <v>32</v>
      </c>
      <c r="B81" s="10" t="s">
        <v>99</v>
      </c>
      <c r="C81" s="9">
        <f>TRUNC(8%*95%*40%,4)*0</f>
        <v>0</v>
      </c>
      <c r="D81" s="13">
        <f t="shared" ref="D81" si="1">TRUNC($D$26*C81,2)</f>
        <v>0</v>
      </c>
    </row>
    <row r="82" spans="1:4" x14ac:dyDescent="0.2">
      <c r="A82" s="76" t="s">
        <v>16</v>
      </c>
      <c r="B82" s="77"/>
      <c r="C82" s="80"/>
      <c r="D82" s="19">
        <f>SUM(D76:D81)</f>
        <v>0</v>
      </c>
    </row>
    <row r="85" spans="1:4" x14ac:dyDescent="0.2">
      <c r="A85" s="72" t="s">
        <v>50</v>
      </c>
      <c r="B85" s="72"/>
      <c r="C85" s="72"/>
      <c r="D85" s="72"/>
    </row>
    <row r="88" spans="1:4" x14ac:dyDescent="0.2">
      <c r="A88" s="79" t="s">
        <v>77</v>
      </c>
      <c r="B88" s="79"/>
      <c r="C88" s="79"/>
      <c r="D88" s="79"/>
    </row>
    <row r="89" spans="1:4" x14ac:dyDescent="0.2">
      <c r="A89" s="3"/>
    </row>
    <row r="90" spans="1:4" x14ac:dyDescent="0.2">
      <c r="A90" s="30" t="s">
        <v>51</v>
      </c>
      <c r="B90" s="78" t="s">
        <v>78</v>
      </c>
      <c r="C90" s="78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TRUNC(((1+1/3)/12)/12,4)*0</f>
        <v>0</v>
      </c>
      <c r="D91" s="13">
        <f>TRUNC(($D$26+$D$70+$D$82)*C91,2)</f>
        <v>0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18.350000000000001</v>
      </c>
    </row>
    <row r="93" spans="1:4" x14ac:dyDescent="0.2">
      <c r="A93" s="32" t="s">
        <v>8</v>
      </c>
      <c r="B93" s="29" t="s">
        <v>81</v>
      </c>
      <c r="C93" s="9">
        <f>TRUNC(((5/30)/12)*2%,4)*0</f>
        <v>0</v>
      </c>
      <c r="D93" s="13">
        <f t="shared" si="2"/>
        <v>0</v>
      </c>
    </row>
    <row r="94" spans="1:4" x14ac:dyDescent="0.2">
      <c r="A94" s="32" t="s">
        <v>10</v>
      </c>
      <c r="B94" s="29" t="s">
        <v>82</v>
      </c>
      <c r="C94" s="9">
        <f>TRUNC(((15/30)/12)*8%,4)*0</f>
        <v>0</v>
      </c>
      <c r="D94" s="13">
        <f t="shared" si="2"/>
        <v>0</v>
      </c>
    </row>
    <row r="95" spans="1:4" x14ac:dyDescent="0.2">
      <c r="A95" s="32" t="s">
        <v>12</v>
      </c>
      <c r="B95" s="29" t="s">
        <v>83</v>
      </c>
      <c r="C95" s="9">
        <f>((1+1/3)/12)*3%*(4/12)*0</f>
        <v>0</v>
      </c>
      <c r="D95" s="13">
        <f t="shared" si="2"/>
        <v>0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66" t="s">
        <v>37</v>
      </c>
      <c r="B97" s="66"/>
      <c r="C97" s="66"/>
      <c r="D97" s="19">
        <f>SUM(D91:D96)</f>
        <v>18.350000000000001</v>
      </c>
      <c r="E97" s="17"/>
      <c r="F97" s="17"/>
    </row>
    <row r="100" spans="1:6" x14ac:dyDescent="0.2">
      <c r="A100" s="79" t="s">
        <v>85</v>
      </c>
      <c r="B100" s="79"/>
      <c r="C100" s="79"/>
      <c r="D100" s="79"/>
    </row>
    <row r="101" spans="1:6" x14ac:dyDescent="0.2">
      <c r="A101" s="3"/>
    </row>
    <row r="102" spans="1:6" x14ac:dyDescent="0.2">
      <c r="A102" s="30" t="s">
        <v>52</v>
      </c>
      <c r="B102" s="78" t="s">
        <v>86</v>
      </c>
      <c r="C102" s="78"/>
      <c r="D102" s="30" t="s">
        <v>3</v>
      </c>
    </row>
    <row r="103" spans="1:6" x14ac:dyDescent="0.2">
      <c r="A103" s="32" t="s">
        <v>4</v>
      </c>
      <c r="B103" s="73" t="s">
        <v>87</v>
      </c>
      <c r="C103" s="74"/>
      <c r="D103" s="13">
        <f>((D26+D70+D82)/220)*22*0</f>
        <v>0</v>
      </c>
    </row>
    <row r="104" spans="1:6" x14ac:dyDescent="0.2">
      <c r="A104" s="66" t="s">
        <v>16</v>
      </c>
      <c r="B104" s="66"/>
      <c r="C104" s="66"/>
      <c r="D104" s="19">
        <f>SUM(D103)</f>
        <v>0</v>
      </c>
    </row>
    <row r="107" spans="1:6" x14ac:dyDescent="0.2">
      <c r="A107" s="79" t="s">
        <v>53</v>
      </c>
      <c r="B107" s="79"/>
      <c r="C107" s="79"/>
      <c r="D107" s="79"/>
    </row>
    <row r="108" spans="1:6" x14ac:dyDescent="0.2">
      <c r="A108" s="3"/>
    </row>
    <row r="109" spans="1:6" x14ac:dyDescent="0.2">
      <c r="A109" s="30">
        <v>4</v>
      </c>
      <c r="B109" s="66" t="s">
        <v>54</v>
      </c>
      <c r="C109" s="66"/>
      <c r="D109" s="30" t="s">
        <v>3</v>
      </c>
    </row>
    <row r="110" spans="1:6" x14ac:dyDescent="0.2">
      <c r="A110" s="32" t="s">
        <v>51</v>
      </c>
      <c r="B110" s="67" t="s">
        <v>78</v>
      </c>
      <c r="C110" s="67"/>
      <c r="D110" s="14">
        <f>D97</f>
        <v>18.350000000000001</v>
      </c>
    </row>
    <row r="111" spans="1:6" x14ac:dyDescent="0.2">
      <c r="A111" s="32" t="s">
        <v>52</v>
      </c>
      <c r="B111" s="67" t="s">
        <v>86</v>
      </c>
      <c r="C111" s="67"/>
      <c r="D111" s="14">
        <f>D104</f>
        <v>0</v>
      </c>
    </row>
    <row r="112" spans="1:6" x14ac:dyDescent="0.2">
      <c r="A112" s="66" t="s">
        <v>16</v>
      </c>
      <c r="B112" s="66"/>
      <c r="C112" s="66"/>
      <c r="D112" s="19">
        <f>SUM(D110:D111)</f>
        <v>18.350000000000001</v>
      </c>
    </row>
    <row r="115" spans="1:4" x14ac:dyDescent="0.2">
      <c r="A115" s="72" t="s">
        <v>55</v>
      </c>
      <c r="B115" s="72"/>
      <c r="C115" s="72"/>
      <c r="D115" s="72"/>
    </row>
    <row r="117" spans="1:4" x14ac:dyDescent="0.2">
      <c r="A117" s="30">
        <v>5</v>
      </c>
      <c r="B117" s="75" t="s">
        <v>56</v>
      </c>
      <c r="C117" s="75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f>ROUND(257.25/12*(365/61),2)</f>
        <v>128.27000000000001</v>
      </c>
    </row>
    <row r="119" spans="1:4" x14ac:dyDescent="0.2">
      <c r="A119" s="32" t="s">
        <v>6</v>
      </c>
      <c r="B119" s="29" t="s">
        <v>58</v>
      </c>
      <c r="C119" s="29"/>
      <c r="D119" s="13"/>
    </row>
    <row r="120" spans="1:4" x14ac:dyDescent="0.2">
      <c r="A120" s="32" t="s">
        <v>8</v>
      </c>
      <c r="B120" s="29" t="s">
        <v>59</v>
      </c>
      <c r="C120" s="29"/>
      <c r="D120" s="13"/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66" t="s">
        <v>37</v>
      </c>
      <c r="B122" s="66"/>
      <c r="C122" s="66"/>
      <c r="D122" s="20">
        <f>SUM(D118:D121)</f>
        <v>128.27000000000001</v>
      </c>
    </row>
    <row r="125" spans="1:4" x14ac:dyDescent="0.2">
      <c r="A125" s="72" t="s">
        <v>60</v>
      </c>
      <c r="B125" s="72"/>
      <c r="C125" s="72"/>
      <c r="D125" s="72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0.05</v>
      </c>
      <c r="D128" s="14">
        <f>D148*C128</f>
        <v>174.15287000000001</v>
      </c>
    </row>
    <row r="129" spans="1:4" x14ac:dyDescent="0.2">
      <c r="A129" s="32" t="s">
        <v>6</v>
      </c>
      <c r="B129" s="29" t="s">
        <v>63</v>
      </c>
      <c r="C129" s="9">
        <v>0.06</v>
      </c>
      <c r="D129" s="13">
        <f>(D148+D128)*C129</f>
        <v>219.43261619999996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367.0822218459769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27.584244999999996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127.31189999999998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212.1865</v>
      </c>
    </row>
    <row r="137" spans="1:4" ht="13.5" x14ac:dyDescent="0.2">
      <c r="A137" s="76" t="s">
        <v>37</v>
      </c>
      <c r="B137" s="77"/>
      <c r="C137" s="21">
        <f>(1+C129)*(1+C128)/(1-C130)-1</f>
        <v>0.21839080459770144</v>
      </c>
      <c r="D137" s="19">
        <f>SUM(D128:D130)</f>
        <v>760.66770804597695</v>
      </c>
    </row>
    <row r="140" spans="1:4" x14ac:dyDescent="0.2">
      <c r="A140" s="72" t="s">
        <v>68</v>
      </c>
      <c r="B140" s="72"/>
      <c r="C140" s="72"/>
      <c r="D140" s="72"/>
    </row>
    <row r="142" spans="1:4" x14ac:dyDescent="0.2">
      <c r="A142" s="30"/>
      <c r="B142" s="66" t="s">
        <v>69</v>
      </c>
      <c r="C142" s="66"/>
      <c r="D142" s="30" t="s">
        <v>3</v>
      </c>
    </row>
    <row r="143" spans="1:4" x14ac:dyDescent="0.2">
      <c r="A143" s="30" t="s">
        <v>4</v>
      </c>
      <c r="B143" s="67" t="s">
        <v>1</v>
      </c>
      <c r="C143" s="67"/>
      <c r="D143" s="22">
        <f>D26</f>
        <v>1854.71</v>
      </c>
    </row>
    <row r="144" spans="1:4" x14ac:dyDescent="0.2">
      <c r="A144" s="30" t="s">
        <v>6</v>
      </c>
      <c r="B144" s="67" t="s">
        <v>17</v>
      </c>
      <c r="C144" s="67"/>
      <c r="D144" s="22">
        <f>D70</f>
        <v>1481.7274</v>
      </c>
    </row>
    <row r="145" spans="1:4" x14ac:dyDescent="0.2">
      <c r="A145" s="30" t="s">
        <v>8</v>
      </c>
      <c r="B145" s="67" t="s">
        <v>45</v>
      </c>
      <c r="C145" s="67"/>
      <c r="D145" s="22">
        <f>D82</f>
        <v>0</v>
      </c>
    </row>
    <row r="146" spans="1:4" x14ac:dyDescent="0.2">
      <c r="A146" s="30" t="s">
        <v>10</v>
      </c>
      <c r="B146" s="67" t="s">
        <v>50</v>
      </c>
      <c r="C146" s="67"/>
      <c r="D146" s="22">
        <f>D112</f>
        <v>18.350000000000001</v>
      </c>
    </row>
    <row r="147" spans="1:4" x14ac:dyDescent="0.2">
      <c r="A147" s="30" t="s">
        <v>12</v>
      </c>
      <c r="B147" s="67" t="s">
        <v>55</v>
      </c>
      <c r="C147" s="67"/>
      <c r="D147" s="22">
        <f>D122</f>
        <v>128.27000000000001</v>
      </c>
    </row>
    <row r="148" spans="1:4" x14ac:dyDescent="0.2">
      <c r="A148" s="66" t="s">
        <v>94</v>
      </c>
      <c r="B148" s="66"/>
      <c r="C148" s="66"/>
      <c r="D148" s="23">
        <f>SUM(D143:D147)</f>
        <v>3483.0573999999997</v>
      </c>
    </row>
    <row r="149" spans="1:4" x14ac:dyDescent="0.2">
      <c r="A149" s="30" t="s">
        <v>32</v>
      </c>
      <c r="B149" s="67" t="s">
        <v>70</v>
      </c>
      <c r="C149" s="67"/>
      <c r="D149" s="24">
        <f>D137</f>
        <v>760.66770804597695</v>
      </c>
    </row>
    <row r="150" spans="1:4" x14ac:dyDescent="0.2">
      <c r="A150" s="66" t="s">
        <v>71</v>
      </c>
      <c r="B150" s="66"/>
      <c r="C150" s="66"/>
      <c r="D150" s="23">
        <f>ROUND(SUM(D148:D149),2)</f>
        <v>4243.7299999999996</v>
      </c>
    </row>
  </sheetData>
  <mergeCells count="71">
    <mergeCell ref="B146:C146"/>
    <mergeCell ref="B147:C147"/>
    <mergeCell ref="A148:C148"/>
    <mergeCell ref="B149:C149"/>
    <mergeCell ref="A150:C150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C10:D10"/>
    <mergeCell ref="A1:D1"/>
    <mergeCell ref="A3:D3"/>
    <mergeCell ref="A5:B5"/>
    <mergeCell ref="A6:B6"/>
    <mergeCell ref="A8:D8"/>
  </mergeCells>
  <pageMargins left="0.51181102362204722" right="0.51181102362204722" top="1.102362204724409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view="pageBreakPreview" topLeftCell="A16" zoomScaleNormal="100" zoomScaleSheetLayoutView="100" workbookViewId="0">
      <selection activeCell="H43" sqref="H43"/>
    </sheetView>
  </sheetViews>
  <sheetFormatPr defaultRowHeight="15" x14ac:dyDescent="0.25"/>
  <cols>
    <col min="1" max="1" width="20.7109375" style="34" customWidth="1"/>
    <col min="2" max="13" width="10.7109375" style="34" customWidth="1"/>
    <col min="14" max="16384" width="9.140625" style="34"/>
  </cols>
  <sheetData>
    <row r="1" spans="1:13" x14ac:dyDescent="0.25">
      <c r="A1" s="49" t="s">
        <v>115</v>
      </c>
    </row>
    <row r="2" spans="1:13" x14ac:dyDescent="0.25">
      <c r="A2" s="34" t="s">
        <v>144</v>
      </c>
    </row>
    <row r="4" spans="1:13" x14ac:dyDescent="0.25">
      <c r="A4" s="34" t="s">
        <v>116</v>
      </c>
    </row>
    <row r="5" spans="1:13" s="88" customFormat="1" ht="30" customHeight="1" x14ac:dyDescent="0.25">
      <c r="A5" s="37" t="s">
        <v>117</v>
      </c>
      <c r="B5" s="86" t="str">
        <f>atend!A6</f>
        <v>Atendente III</v>
      </c>
      <c r="C5" s="87"/>
      <c r="D5" s="86" t="str">
        <f>atendlibras!A6</f>
        <v>Atendente IV (Libras)</v>
      </c>
      <c r="E5" s="87"/>
      <c r="F5" s="86" t="str">
        <f>telef!A6</f>
        <v>Telefonista</v>
      </c>
      <c r="G5" s="87"/>
      <c r="H5" s="86" t="str">
        <f>teleflibras!A6</f>
        <v>Telefonista Bilíngue (Libras)</v>
      </c>
      <c r="I5" s="87"/>
      <c r="J5" s="86" t="str">
        <f>auxsuper!A6</f>
        <v>Auxiliar de Supervisão</v>
      </c>
      <c r="K5" s="87"/>
      <c r="L5" s="86" t="str">
        <f>super!A6</f>
        <v>Supervisor</v>
      </c>
      <c r="M5" s="87"/>
    </row>
    <row r="6" spans="1:13" x14ac:dyDescent="0.25">
      <c r="A6" s="37" t="s">
        <v>118</v>
      </c>
      <c r="B6" s="38"/>
      <c r="C6" s="39">
        <f>atend!D26</f>
        <v>1669.59</v>
      </c>
      <c r="D6" s="38"/>
      <c r="E6" s="39">
        <f>atendlibras!D26</f>
        <v>1981.7</v>
      </c>
      <c r="F6" s="38"/>
      <c r="G6" s="39">
        <f>telef!D26</f>
        <v>1510.09</v>
      </c>
      <c r="H6" s="38"/>
      <c r="I6" s="39">
        <f>teleflibras!D26</f>
        <v>1854.71</v>
      </c>
      <c r="J6" s="38"/>
      <c r="K6" s="39">
        <f>auxsuper!D26</f>
        <v>1676.83</v>
      </c>
      <c r="L6" s="38"/>
      <c r="M6" s="39">
        <f>super!D26</f>
        <v>1963.81</v>
      </c>
    </row>
    <row r="7" spans="1:13" x14ac:dyDescent="0.25">
      <c r="A7" s="37" t="s">
        <v>119</v>
      </c>
      <c r="B7" s="38">
        <v>200</v>
      </c>
      <c r="C7" s="39">
        <f>ROUND(C6/B7,2)</f>
        <v>8.35</v>
      </c>
      <c r="D7" s="38">
        <v>200</v>
      </c>
      <c r="E7" s="39">
        <f>ROUND(E6/D7,2)</f>
        <v>9.91</v>
      </c>
      <c r="F7" s="38">
        <v>150</v>
      </c>
      <c r="G7" s="39">
        <f>ROUND(G6/F7,2)</f>
        <v>10.07</v>
      </c>
      <c r="H7" s="38">
        <v>150</v>
      </c>
      <c r="I7" s="39">
        <f>ROUND(I6/H7,2)</f>
        <v>12.36</v>
      </c>
      <c r="J7" s="38">
        <v>200</v>
      </c>
      <c r="K7" s="39">
        <f>ROUND(K6/J7,2)</f>
        <v>8.3800000000000008</v>
      </c>
      <c r="L7" s="38">
        <v>200</v>
      </c>
      <c r="M7" s="39">
        <f>ROUND(M6/L7,2)</f>
        <v>9.82</v>
      </c>
    </row>
    <row r="8" spans="1:13" x14ac:dyDescent="0.25">
      <c r="A8" s="37" t="s">
        <v>120</v>
      </c>
      <c r="B8" s="40">
        <f>atend!C36</f>
        <v>0.19440000000000002</v>
      </c>
      <c r="C8" s="39">
        <f>ROUND(C7*B8,2)</f>
        <v>1.62</v>
      </c>
      <c r="D8" s="40">
        <f>atendlibras!C36</f>
        <v>0.19440000000000002</v>
      </c>
      <c r="E8" s="39">
        <f>ROUND(E7*D8,2)</f>
        <v>1.93</v>
      </c>
      <c r="F8" s="40">
        <f>telef!C36</f>
        <v>0.19440000000000002</v>
      </c>
      <c r="G8" s="39">
        <f>ROUND(G7*F8,2)</f>
        <v>1.96</v>
      </c>
      <c r="H8" s="40">
        <f>teleflibras!C36</f>
        <v>0.19440000000000002</v>
      </c>
      <c r="I8" s="39">
        <f>ROUND(I7*H8,2)</f>
        <v>2.4</v>
      </c>
      <c r="J8" s="40">
        <f>auxsuper!C36</f>
        <v>0.19440000000000002</v>
      </c>
      <c r="K8" s="39">
        <f>ROUND(K7*J8,2)</f>
        <v>1.63</v>
      </c>
      <c r="L8" s="40">
        <f>super!C36</f>
        <v>0.19440000000000002</v>
      </c>
      <c r="M8" s="39">
        <f>ROUND(M7*L8,2)</f>
        <v>1.91</v>
      </c>
    </row>
    <row r="9" spans="1:13" x14ac:dyDescent="0.25">
      <c r="A9" s="37" t="s">
        <v>121</v>
      </c>
      <c r="B9" s="38"/>
      <c r="C9" s="39">
        <f>SUM(C7:C8)</f>
        <v>9.9699999999999989</v>
      </c>
      <c r="D9" s="38"/>
      <c r="E9" s="39">
        <f>SUM(E7:E8)</f>
        <v>11.84</v>
      </c>
      <c r="F9" s="38"/>
      <c r="G9" s="39">
        <f>SUM(G7:G8)</f>
        <v>12.030000000000001</v>
      </c>
      <c r="H9" s="38"/>
      <c r="I9" s="39">
        <f>SUM(I7:I8)</f>
        <v>14.76</v>
      </c>
      <c r="J9" s="38"/>
      <c r="K9" s="39">
        <f>SUM(K7:K8)</f>
        <v>10.010000000000002</v>
      </c>
      <c r="L9" s="38"/>
      <c r="M9" s="39">
        <f>SUM(M7:M8)</f>
        <v>11.73</v>
      </c>
    </row>
    <row r="10" spans="1:13" ht="30" x14ac:dyDescent="0.25">
      <c r="A10" s="37" t="s">
        <v>122</v>
      </c>
      <c r="B10" s="40">
        <f>atend!C50</f>
        <v>0.36800000000000005</v>
      </c>
      <c r="C10" s="39">
        <f>ROUND(C9*B10,2)</f>
        <v>3.67</v>
      </c>
      <c r="D10" s="40">
        <f>atendlibras!C50</f>
        <v>0.36800000000000005</v>
      </c>
      <c r="E10" s="39">
        <f>ROUND(E9*D10,2)</f>
        <v>4.3600000000000003</v>
      </c>
      <c r="F10" s="40">
        <f>telef!C50</f>
        <v>0.36800000000000005</v>
      </c>
      <c r="G10" s="39">
        <f>ROUND(G9*F10,2)</f>
        <v>4.43</v>
      </c>
      <c r="H10" s="40">
        <f>teleflibras!C50</f>
        <v>0.36800000000000005</v>
      </c>
      <c r="I10" s="39">
        <f>ROUND(I9*H10,2)</f>
        <v>5.43</v>
      </c>
      <c r="J10" s="40">
        <f>auxsuper!C50</f>
        <v>0.36800000000000005</v>
      </c>
      <c r="K10" s="39">
        <f>ROUND(K9*J10,2)</f>
        <v>3.68</v>
      </c>
      <c r="L10" s="40">
        <f>super!C50</f>
        <v>0.36800000000000005</v>
      </c>
      <c r="M10" s="39">
        <f>ROUND(M9*L10,2)</f>
        <v>4.32</v>
      </c>
    </row>
    <row r="11" spans="1:13" x14ac:dyDescent="0.25">
      <c r="A11" s="37" t="s">
        <v>123</v>
      </c>
      <c r="B11" s="38"/>
      <c r="C11" s="39">
        <f>SUM(C9:C10)</f>
        <v>13.639999999999999</v>
      </c>
      <c r="D11" s="38"/>
      <c r="E11" s="39">
        <f>SUM(E9:E10)</f>
        <v>16.2</v>
      </c>
      <c r="F11" s="38"/>
      <c r="G11" s="39">
        <f>SUM(G9:G10)</f>
        <v>16.46</v>
      </c>
      <c r="H11" s="38"/>
      <c r="I11" s="39">
        <f>SUM(I9:I10)</f>
        <v>20.189999999999998</v>
      </c>
      <c r="J11" s="38"/>
      <c r="K11" s="39">
        <f>SUM(K9:K10)</f>
        <v>13.690000000000001</v>
      </c>
      <c r="L11" s="38"/>
      <c r="M11" s="39">
        <f>SUM(M9:M10)</f>
        <v>16.05</v>
      </c>
    </row>
    <row r="12" spans="1:13" ht="30" x14ac:dyDescent="0.25">
      <c r="A12" s="37" t="s">
        <v>136</v>
      </c>
      <c r="B12" s="40">
        <f>atend!C137</f>
        <v>0.21839080459770144</v>
      </c>
      <c r="C12" s="39">
        <f>ROUND(C11*B12,2)</f>
        <v>2.98</v>
      </c>
      <c r="D12" s="40">
        <f>atendlibras!C137</f>
        <v>0.21839080459770144</v>
      </c>
      <c r="E12" s="39">
        <f>ROUND(E11*D12,2)</f>
        <v>3.54</v>
      </c>
      <c r="F12" s="40">
        <f>telef!C137</f>
        <v>0.21839080459770144</v>
      </c>
      <c r="G12" s="39">
        <f>ROUND(G11*F12,2)</f>
        <v>3.59</v>
      </c>
      <c r="H12" s="40">
        <f>teleflibras!C137</f>
        <v>0.21839080459770144</v>
      </c>
      <c r="I12" s="39">
        <f>ROUND(I11*H12,2)</f>
        <v>4.41</v>
      </c>
      <c r="J12" s="40">
        <f>auxsuper!C137</f>
        <v>0.21839080459770144</v>
      </c>
      <c r="K12" s="39">
        <f>ROUND(K11*J12,2)</f>
        <v>2.99</v>
      </c>
      <c r="L12" s="40">
        <f>super!C137</f>
        <v>0.21839080459770144</v>
      </c>
      <c r="M12" s="39">
        <f>ROUND(M11*L12,2)</f>
        <v>3.51</v>
      </c>
    </row>
    <row r="13" spans="1:13" x14ac:dyDescent="0.25">
      <c r="A13" s="37" t="s">
        <v>124</v>
      </c>
      <c r="B13" s="38"/>
      <c r="C13" s="39">
        <f>SUM(C11:C12)</f>
        <v>16.619999999999997</v>
      </c>
      <c r="D13" s="38"/>
      <c r="E13" s="39">
        <f>SUM(E11:E12)</f>
        <v>19.739999999999998</v>
      </c>
      <c r="F13" s="38"/>
      <c r="G13" s="39">
        <f>SUM(G11:G12)</f>
        <v>20.05</v>
      </c>
      <c r="H13" s="38"/>
      <c r="I13" s="39">
        <f>SUM(I11:I12)</f>
        <v>24.599999999999998</v>
      </c>
      <c r="J13" s="38"/>
      <c r="K13" s="39">
        <f>SUM(K11:K12)</f>
        <v>16.68</v>
      </c>
      <c r="L13" s="38"/>
      <c r="M13" s="39">
        <f>SUM(M11:M12)</f>
        <v>19.560000000000002</v>
      </c>
    </row>
    <row r="14" spans="1:13" ht="30" x14ac:dyDescent="0.25">
      <c r="A14" s="37" t="s">
        <v>125</v>
      </c>
      <c r="B14" s="41">
        <v>0.5</v>
      </c>
      <c r="C14" s="48">
        <f>ROUND(C13*(1+B14),2)</f>
        <v>24.93</v>
      </c>
      <c r="D14" s="41">
        <v>0.5</v>
      </c>
      <c r="E14" s="48">
        <f>ROUND(E13*(1+D14),2)</f>
        <v>29.61</v>
      </c>
      <c r="F14" s="41">
        <v>0.5</v>
      </c>
      <c r="G14" s="48">
        <f>ROUND(G13*(1+F14),2)</f>
        <v>30.08</v>
      </c>
      <c r="H14" s="41">
        <v>0.5</v>
      </c>
      <c r="I14" s="48">
        <f>ROUND(I13*(1+H14),2)</f>
        <v>36.9</v>
      </c>
      <c r="J14" s="41">
        <v>0.5</v>
      </c>
      <c r="K14" s="48">
        <f>ROUND(K13*(1+J14),2)</f>
        <v>25.02</v>
      </c>
      <c r="L14" s="41">
        <v>0.5</v>
      </c>
      <c r="M14" s="48">
        <f>ROUND(M13*(1+L14),2)</f>
        <v>29.34</v>
      </c>
    </row>
    <row r="15" spans="1:13" ht="30" x14ac:dyDescent="0.25">
      <c r="A15" s="37" t="s">
        <v>126</v>
      </c>
      <c r="B15" s="41">
        <v>1</v>
      </c>
      <c r="C15" s="48">
        <f>ROUND(C13*(1+B15),2)</f>
        <v>33.24</v>
      </c>
      <c r="D15" s="41">
        <v>1</v>
      </c>
      <c r="E15" s="48">
        <f>ROUND(E13*(1+D15),2)</f>
        <v>39.479999999999997</v>
      </c>
      <c r="F15" s="41">
        <v>1</v>
      </c>
      <c r="G15" s="48">
        <f>ROUND(G13*(1+F15),2)</f>
        <v>40.1</v>
      </c>
      <c r="H15" s="41">
        <v>1</v>
      </c>
      <c r="I15" s="48">
        <f>ROUND(I13*(1+H15),2)</f>
        <v>49.2</v>
      </c>
      <c r="J15" s="41">
        <v>1</v>
      </c>
      <c r="K15" s="48">
        <f>ROUND(K13*(1+J15),2)</f>
        <v>33.36</v>
      </c>
      <c r="L15" s="41">
        <v>1</v>
      </c>
      <c r="M15" s="48">
        <f>ROUND(M13*(1+L15),2)</f>
        <v>39.119999999999997</v>
      </c>
    </row>
    <row r="17" spans="1:13" x14ac:dyDescent="0.25">
      <c r="A17" s="34" t="s">
        <v>127</v>
      </c>
    </row>
    <row r="18" spans="1:13" s="88" customFormat="1" ht="30" customHeight="1" x14ac:dyDescent="0.25">
      <c r="A18" s="37" t="str">
        <f>A5</f>
        <v>posto</v>
      </c>
      <c r="B18" s="86" t="str">
        <f t="shared" ref="B18:M18" si="0">B5</f>
        <v>Atendente III</v>
      </c>
      <c r="C18" s="87">
        <f t="shared" si="0"/>
        <v>0</v>
      </c>
      <c r="D18" s="86" t="str">
        <f t="shared" si="0"/>
        <v>Atendente IV (Libras)</v>
      </c>
      <c r="E18" s="87">
        <f t="shared" si="0"/>
        <v>0</v>
      </c>
      <c r="F18" s="86" t="str">
        <f t="shared" si="0"/>
        <v>Telefonista</v>
      </c>
      <c r="G18" s="87">
        <f t="shared" si="0"/>
        <v>0</v>
      </c>
      <c r="H18" s="86" t="str">
        <f t="shared" si="0"/>
        <v>Telefonista Bilíngue (Libras)</v>
      </c>
      <c r="I18" s="87">
        <f t="shared" si="0"/>
        <v>0</v>
      </c>
      <c r="J18" s="86" t="str">
        <f t="shared" si="0"/>
        <v>Auxiliar de Supervisão</v>
      </c>
      <c r="K18" s="87">
        <f t="shared" si="0"/>
        <v>0</v>
      </c>
      <c r="L18" s="86" t="str">
        <f t="shared" si="0"/>
        <v>Supervisor</v>
      </c>
      <c r="M18" s="87">
        <f t="shared" si="0"/>
        <v>0</v>
      </c>
    </row>
    <row r="19" spans="1:13" x14ac:dyDescent="0.25">
      <c r="A19" s="36" t="s">
        <v>128</v>
      </c>
      <c r="B19" s="38">
        <v>76</v>
      </c>
      <c r="C19" s="39">
        <f>B19*C14</f>
        <v>1894.68</v>
      </c>
      <c r="D19" s="38">
        <v>76</v>
      </c>
      <c r="E19" s="39">
        <f>D19*E14</f>
        <v>2250.36</v>
      </c>
      <c r="F19" s="38">
        <v>38</v>
      </c>
      <c r="G19" s="39">
        <f>F19*G14</f>
        <v>1143.04</v>
      </c>
      <c r="H19" s="38">
        <v>38</v>
      </c>
      <c r="I19" s="39">
        <f>H19*I14</f>
        <v>1402.2</v>
      </c>
      <c r="J19" s="38">
        <v>114</v>
      </c>
      <c r="K19" s="39">
        <f>J19*K14</f>
        <v>2852.2799999999997</v>
      </c>
      <c r="L19" s="38">
        <v>114</v>
      </c>
      <c r="M19" s="39">
        <f>L19*M14</f>
        <v>3344.7599999999998</v>
      </c>
    </row>
    <row r="20" spans="1:13" x14ac:dyDescent="0.25">
      <c r="A20" s="36" t="s">
        <v>129</v>
      </c>
      <c r="B20" s="38">
        <v>48</v>
      </c>
      <c r="C20" s="39">
        <f>B20*C14</f>
        <v>1196.6399999999999</v>
      </c>
      <c r="D20" s="38">
        <v>48</v>
      </c>
      <c r="E20" s="39">
        <f>D20*E14</f>
        <v>1421.28</v>
      </c>
      <c r="F20" s="38">
        <v>8</v>
      </c>
      <c r="G20" s="39">
        <f>F20*G14</f>
        <v>240.64</v>
      </c>
      <c r="H20" s="38">
        <v>8</v>
      </c>
      <c r="I20" s="39">
        <f>H20*I14</f>
        <v>295.2</v>
      </c>
      <c r="J20" s="38">
        <v>60</v>
      </c>
      <c r="K20" s="39">
        <f>J20*K14</f>
        <v>1501.2</v>
      </c>
      <c r="L20" s="38">
        <v>60</v>
      </c>
      <c r="M20" s="39">
        <f>L20*M14</f>
        <v>1760.4</v>
      </c>
    </row>
    <row r="21" spans="1:13" x14ac:dyDescent="0.25">
      <c r="A21" s="36" t="s">
        <v>130</v>
      </c>
      <c r="B21" s="38">
        <v>36</v>
      </c>
      <c r="C21" s="39">
        <f>B21*C15</f>
        <v>1196.6400000000001</v>
      </c>
      <c r="D21" s="38">
        <v>36</v>
      </c>
      <c r="E21" s="39">
        <f>D21*E15</f>
        <v>1421.28</v>
      </c>
      <c r="F21" s="38">
        <v>12</v>
      </c>
      <c r="G21" s="39">
        <f>F21*G15</f>
        <v>481.20000000000005</v>
      </c>
      <c r="H21" s="38">
        <v>12</v>
      </c>
      <c r="I21" s="39">
        <f>H21*I15</f>
        <v>590.40000000000009</v>
      </c>
      <c r="J21" s="38">
        <v>54</v>
      </c>
      <c r="K21" s="39">
        <f>J21*K15</f>
        <v>1801.44</v>
      </c>
      <c r="L21" s="38">
        <v>54</v>
      </c>
      <c r="M21" s="39">
        <f>L21*M15</f>
        <v>2112.48</v>
      </c>
    </row>
    <row r="22" spans="1:13" x14ac:dyDescent="0.25">
      <c r="A22" s="36" t="s">
        <v>131</v>
      </c>
      <c r="B22" s="38"/>
      <c r="C22" s="39">
        <f>SUM(C19:C21)</f>
        <v>4287.96</v>
      </c>
      <c r="D22" s="38"/>
      <c r="E22" s="39">
        <f>SUM(E19:E21)</f>
        <v>5092.92</v>
      </c>
      <c r="F22" s="38"/>
      <c r="G22" s="39">
        <f>SUM(G19:G21)</f>
        <v>1864.8799999999999</v>
      </c>
      <c r="H22" s="38"/>
      <c r="I22" s="39">
        <f>SUM(I19:I21)</f>
        <v>2287.8000000000002</v>
      </c>
      <c r="J22" s="38"/>
      <c r="K22" s="39">
        <f>SUM(K19:K21)</f>
        <v>6154.92</v>
      </c>
      <c r="L22" s="38"/>
      <c r="M22" s="39">
        <f>SUM(M19:M21)</f>
        <v>7217.6399999999994</v>
      </c>
    </row>
    <row r="23" spans="1:13" x14ac:dyDescent="0.25">
      <c r="A23" s="36" t="s">
        <v>132</v>
      </c>
      <c r="B23" s="38">
        <f>atend!D6</f>
        <v>8</v>
      </c>
      <c r="C23" s="39">
        <f>B23*C22</f>
        <v>34303.68</v>
      </c>
      <c r="D23" s="38">
        <f>atendlibras!D6</f>
        <v>2</v>
      </c>
      <c r="E23" s="39">
        <f>D23*E22</f>
        <v>10185.84</v>
      </c>
      <c r="F23" s="38">
        <f>telef!D6</f>
        <v>11</v>
      </c>
      <c r="G23" s="39">
        <f>F23*G22</f>
        <v>20513.68</v>
      </c>
      <c r="H23" s="38">
        <f>teleflibras!D6</f>
        <v>3</v>
      </c>
      <c r="I23" s="39">
        <f>H23*I22</f>
        <v>6863.4000000000005</v>
      </c>
      <c r="J23" s="38">
        <f>auxsuper!D6</f>
        <v>2</v>
      </c>
      <c r="K23" s="39">
        <f>J23*K22</f>
        <v>12309.84</v>
      </c>
      <c r="L23" s="38">
        <f>super!D6</f>
        <v>1</v>
      </c>
      <c r="M23" s="39">
        <f>L23*M22</f>
        <v>7217.6399999999994</v>
      </c>
    </row>
    <row r="25" spans="1:13" x14ac:dyDescent="0.25">
      <c r="A25" s="34" t="s">
        <v>133</v>
      </c>
    </row>
    <row r="26" spans="1:13" s="88" customFormat="1" ht="30" customHeight="1" x14ac:dyDescent="0.25">
      <c r="A26" s="37" t="str">
        <f>A5</f>
        <v>posto</v>
      </c>
      <c r="B26" s="86" t="str">
        <f t="shared" ref="B26:M26" si="1">B5</f>
        <v>Atendente III</v>
      </c>
      <c r="C26" s="87">
        <f t="shared" si="1"/>
        <v>0</v>
      </c>
      <c r="D26" s="86" t="str">
        <f t="shared" si="1"/>
        <v>Atendente IV (Libras)</v>
      </c>
      <c r="E26" s="87">
        <f t="shared" si="1"/>
        <v>0</v>
      </c>
      <c r="F26" s="86" t="str">
        <f t="shared" si="1"/>
        <v>Telefonista</v>
      </c>
      <c r="G26" s="87">
        <f t="shared" si="1"/>
        <v>0</v>
      </c>
      <c r="H26" s="86" t="str">
        <f t="shared" si="1"/>
        <v>Telefonista Bilíngue (Libras)</v>
      </c>
      <c r="I26" s="87">
        <f t="shared" si="1"/>
        <v>0</v>
      </c>
      <c r="J26" s="86" t="str">
        <f t="shared" si="1"/>
        <v>Auxiliar de Supervisão</v>
      </c>
      <c r="K26" s="87">
        <f t="shared" si="1"/>
        <v>0</v>
      </c>
      <c r="L26" s="86" t="str">
        <f t="shared" si="1"/>
        <v>Supervisor</v>
      </c>
      <c r="M26" s="87">
        <f t="shared" si="1"/>
        <v>0</v>
      </c>
    </row>
    <row r="27" spans="1:13" x14ac:dyDescent="0.25">
      <c r="A27" s="37" t="s">
        <v>134</v>
      </c>
      <c r="B27" s="38"/>
      <c r="C27" s="39">
        <v>5.2</v>
      </c>
      <c r="D27" s="38"/>
      <c r="E27" s="39">
        <v>5.2</v>
      </c>
      <c r="F27" s="38"/>
      <c r="G27" s="39">
        <v>5.2</v>
      </c>
      <c r="H27" s="38"/>
      <c r="I27" s="39">
        <v>5.2</v>
      </c>
      <c r="J27" s="38"/>
      <c r="K27" s="39">
        <v>5.2</v>
      </c>
      <c r="L27" s="38"/>
      <c r="M27" s="39">
        <v>5.2</v>
      </c>
    </row>
    <row r="28" spans="1:13" x14ac:dyDescent="0.25">
      <c r="A28" s="37" t="s">
        <v>135</v>
      </c>
      <c r="B28" s="38">
        <v>2</v>
      </c>
      <c r="C28" s="39">
        <f>B28*C27</f>
        <v>10.4</v>
      </c>
      <c r="D28" s="38">
        <v>2</v>
      </c>
      <c r="E28" s="39">
        <f>D28*E27</f>
        <v>10.4</v>
      </c>
      <c r="F28" s="38">
        <v>2</v>
      </c>
      <c r="G28" s="39">
        <f>F28*G27</f>
        <v>10.4</v>
      </c>
      <c r="H28" s="38">
        <v>2</v>
      </c>
      <c r="I28" s="39">
        <f>H28*I27</f>
        <v>10.4</v>
      </c>
      <c r="J28" s="38">
        <v>2</v>
      </c>
      <c r="K28" s="39">
        <f>J28*K27</f>
        <v>10.4</v>
      </c>
      <c r="L28" s="38">
        <v>2</v>
      </c>
      <c r="M28" s="39">
        <f>L28*M27</f>
        <v>10.4</v>
      </c>
    </row>
    <row r="29" spans="1:13" ht="30" x14ac:dyDescent="0.25">
      <c r="A29" s="37" t="s">
        <v>136</v>
      </c>
      <c r="B29" s="40">
        <f>B12</f>
        <v>0.21839080459770144</v>
      </c>
      <c r="C29" s="39">
        <f>ROUND(C28*B29,2)</f>
        <v>2.27</v>
      </c>
      <c r="D29" s="40">
        <f>D12</f>
        <v>0.21839080459770144</v>
      </c>
      <c r="E29" s="39">
        <f>ROUND(E28*D29,2)</f>
        <v>2.27</v>
      </c>
      <c r="F29" s="40">
        <f>F12</f>
        <v>0.21839080459770144</v>
      </c>
      <c r="G29" s="39">
        <f>ROUND(G28*F29,2)</f>
        <v>2.27</v>
      </c>
      <c r="H29" s="40">
        <f>H12</f>
        <v>0.21839080459770144</v>
      </c>
      <c r="I29" s="39">
        <f>ROUND(I28*H29,2)</f>
        <v>2.27</v>
      </c>
      <c r="J29" s="40">
        <f>J12</f>
        <v>0.21839080459770144</v>
      </c>
      <c r="K29" s="39">
        <f>ROUND(K28*J29,2)</f>
        <v>2.27</v>
      </c>
      <c r="L29" s="40">
        <f>L12</f>
        <v>0.21839080459770144</v>
      </c>
      <c r="M29" s="39">
        <f>ROUND(M28*L29,2)</f>
        <v>2.27</v>
      </c>
    </row>
    <row r="30" spans="1:13" ht="30" x14ac:dyDescent="0.25">
      <c r="A30" s="37" t="s">
        <v>139</v>
      </c>
      <c r="B30" s="40"/>
      <c r="C30" s="48">
        <f>SUM(C28:C29)</f>
        <v>12.67</v>
      </c>
      <c r="D30" s="40"/>
      <c r="E30" s="48">
        <f>SUM(E28:E29)</f>
        <v>12.67</v>
      </c>
      <c r="F30" s="40"/>
      <c r="G30" s="48">
        <f>SUM(G28:G29)</f>
        <v>12.67</v>
      </c>
      <c r="H30" s="40"/>
      <c r="I30" s="48">
        <f>SUM(I28:I29)</f>
        <v>12.67</v>
      </c>
      <c r="J30" s="40"/>
      <c r="K30" s="48">
        <f>SUM(K28:K29)</f>
        <v>12.67</v>
      </c>
      <c r="L30" s="40"/>
      <c r="M30" s="48">
        <f>SUM(M28:M29)</f>
        <v>12.67</v>
      </c>
    </row>
    <row r="31" spans="1:13" x14ac:dyDescent="0.25">
      <c r="A31" s="36" t="s">
        <v>129</v>
      </c>
      <c r="B31" s="38">
        <v>8</v>
      </c>
      <c r="C31" s="39">
        <f>B31*C30</f>
        <v>101.36</v>
      </c>
      <c r="D31" s="38">
        <v>8</v>
      </c>
      <c r="E31" s="39">
        <f>D31*E30</f>
        <v>101.36</v>
      </c>
      <c r="F31" s="38">
        <v>2</v>
      </c>
      <c r="G31" s="39">
        <f>F31*G30</f>
        <v>25.34</v>
      </c>
      <c r="H31" s="38">
        <v>2</v>
      </c>
      <c r="I31" s="39">
        <f>H31*I30</f>
        <v>25.34</v>
      </c>
      <c r="J31" s="38">
        <v>10</v>
      </c>
      <c r="K31" s="39">
        <f>J31*K30</f>
        <v>126.7</v>
      </c>
      <c r="L31" s="38">
        <v>10</v>
      </c>
      <c r="M31" s="39">
        <f>L31*M30</f>
        <v>126.7</v>
      </c>
    </row>
    <row r="32" spans="1:13" x14ac:dyDescent="0.25">
      <c r="A32" s="36" t="s">
        <v>130</v>
      </c>
      <c r="B32" s="38">
        <v>6</v>
      </c>
      <c r="C32" s="39">
        <f>B32*C30</f>
        <v>76.02</v>
      </c>
      <c r="D32" s="38">
        <v>6</v>
      </c>
      <c r="E32" s="39">
        <f>D32*E30</f>
        <v>76.02</v>
      </c>
      <c r="F32" s="38">
        <v>3</v>
      </c>
      <c r="G32" s="39">
        <f>F32*G30</f>
        <v>38.01</v>
      </c>
      <c r="H32" s="38">
        <v>3</v>
      </c>
      <c r="I32" s="39">
        <f>H32*I30</f>
        <v>38.01</v>
      </c>
      <c r="J32" s="38">
        <v>9</v>
      </c>
      <c r="K32" s="39">
        <f>J32*K30</f>
        <v>114.03</v>
      </c>
      <c r="L32" s="38">
        <v>9</v>
      </c>
      <c r="M32" s="39">
        <f>L32*M30</f>
        <v>114.03</v>
      </c>
    </row>
    <row r="33" spans="1:13" x14ac:dyDescent="0.25">
      <c r="A33" s="36" t="s">
        <v>131</v>
      </c>
      <c r="B33" s="38"/>
      <c r="C33" s="39">
        <f>SUM(C31:C32)</f>
        <v>177.38</v>
      </c>
      <c r="D33" s="38"/>
      <c r="E33" s="39">
        <f>SUM(E31:E32)</f>
        <v>177.38</v>
      </c>
      <c r="F33" s="38"/>
      <c r="G33" s="39">
        <f>SUM(G31:G32)</f>
        <v>63.349999999999994</v>
      </c>
      <c r="H33" s="38"/>
      <c r="I33" s="39">
        <f>SUM(I31:I32)</f>
        <v>63.349999999999994</v>
      </c>
      <c r="J33" s="38"/>
      <c r="K33" s="39">
        <f>SUM(K31:K32)</f>
        <v>240.73000000000002</v>
      </c>
      <c r="L33" s="38"/>
      <c r="M33" s="39">
        <f>SUM(M31:M32)</f>
        <v>240.73000000000002</v>
      </c>
    </row>
    <row r="34" spans="1:13" x14ac:dyDescent="0.25">
      <c r="A34" s="36" t="s">
        <v>132</v>
      </c>
      <c r="B34" s="38">
        <f>B23</f>
        <v>8</v>
      </c>
      <c r="C34" s="39">
        <f>B34*C33</f>
        <v>1419.04</v>
      </c>
      <c r="D34" s="38">
        <f>D23</f>
        <v>2</v>
      </c>
      <c r="E34" s="39">
        <f>D34*E33</f>
        <v>354.76</v>
      </c>
      <c r="F34" s="38">
        <f>F23</f>
        <v>11</v>
      </c>
      <c r="G34" s="39">
        <f>F34*G33</f>
        <v>696.84999999999991</v>
      </c>
      <c r="H34" s="38">
        <f>H23</f>
        <v>3</v>
      </c>
      <c r="I34" s="39">
        <f>H34*I33</f>
        <v>190.04999999999998</v>
      </c>
      <c r="J34" s="38">
        <f>J23</f>
        <v>2</v>
      </c>
      <c r="K34" s="39">
        <f>J34*K33</f>
        <v>481.46000000000004</v>
      </c>
      <c r="L34" s="38">
        <f>L23</f>
        <v>1</v>
      </c>
      <c r="M34" s="39">
        <f>L34*M33</f>
        <v>240.73000000000002</v>
      </c>
    </row>
    <row r="36" spans="1:13" x14ac:dyDescent="0.25">
      <c r="A36" s="34" t="s">
        <v>140</v>
      </c>
    </row>
    <row r="37" spans="1:13" s="88" customFormat="1" ht="30" customHeight="1" x14ac:dyDescent="0.25">
      <c r="A37" s="37" t="str">
        <f>A5</f>
        <v>posto</v>
      </c>
      <c r="B37" s="86" t="str">
        <f t="shared" ref="B37:M37" si="2">B5</f>
        <v>Atendente III</v>
      </c>
      <c r="C37" s="87">
        <f t="shared" si="2"/>
        <v>0</v>
      </c>
      <c r="D37" s="86" t="str">
        <f t="shared" si="2"/>
        <v>Atendente IV (Libras)</v>
      </c>
      <c r="E37" s="87">
        <f t="shared" si="2"/>
        <v>0</v>
      </c>
      <c r="F37" s="86" t="str">
        <f t="shared" si="2"/>
        <v>Telefonista</v>
      </c>
      <c r="G37" s="87">
        <f t="shared" si="2"/>
        <v>0</v>
      </c>
      <c r="H37" s="86" t="str">
        <f t="shared" si="2"/>
        <v>Telefonista Bilíngue (Libras)</v>
      </c>
      <c r="I37" s="87">
        <f t="shared" si="2"/>
        <v>0</v>
      </c>
      <c r="J37" s="86" t="str">
        <f t="shared" si="2"/>
        <v>Auxiliar de Supervisão</v>
      </c>
      <c r="K37" s="87">
        <f t="shared" si="2"/>
        <v>0</v>
      </c>
      <c r="L37" s="86" t="str">
        <f t="shared" si="2"/>
        <v>Supervisor</v>
      </c>
      <c r="M37" s="87">
        <f t="shared" si="2"/>
        <v>0</v>
      </c>
    </row>
    <row r="38" spans="1:13" x14ac:dyDescent="0.25">
      <c r="A38" s="36" t="s">
        <v>141</v>
      </c>
      <c r="B38" s="38"/>
      <c r="C38" s="39">
        <f>C23</f>
        <v>34303.68</v>
      </c>
      <c r="D38" s="38"/>
      <c r="E38" s="39">
        <f t="shared" ref="E38" si="3">E23</f>
        <v>10185.84</v>
      </c>
      <c r="F38" s="38"/>
      <c r="G38" s="39">
        <f t="shared" ref="G38" si="4">G23</f>
        <v>20513.68</v>
      </c>
      <c r="H38" s="38"/>
      <c r="I38" s="39">
        <f t="shared" ref="I38" si="5">I23</f>
        <v>6863.4000000000005</v>
      </c>
      <c r="J38" s="38"/>
      <c r="K38" s="39">
        <f t="shared" ref="K38" si="6">K23</f>
        <v>12309.84</v>
      </c>
      <c r="L38" s="38"/>
      <c r="M38" s="39">
        <f t="shared" ref="M38" si="7">M23</f>
        <v>7217.6399999999994</v>
      </c>
    </row>
    <row r="39" spans="1:13" x14ac:dyDescent="0.25">
      <c r="A39" s="36" t="s">
        <v>142</v>
      </c>
      <c r="B39" s="38"/>
      <c r="C39" s="39">
        <f>C34</f>
        <v>1419.04</v>
      </c>
      <c r="D39" s="38"/>
      <c r="E39" s="39">
        <f t="shared" ref="E39" si="8">E34</f>
        <v>354.76</v>
      </c>
      <c r="F39" s="38"/>
      <c r="G39" s="39">
        <f t="shared" ref="G39" si="9">G34</f>
        <v>696.84999999999991</v>
      </c>
      <c r="H39" s="38"/>
      <c r="I39" s="39">
        <f t="shared" ref="I39" si="10">I34</f>
        <v>190.04999999999998</v>
      </c>
      <c r="J39" s="38"/>
      <c r="K39" s="39">
        <f t="shared" ref="K39" si="11">K34</f>
        <v>481.46000000000004</v>
      </c>
      <c r="L39" s="38"/>
      <c r="M39" s="39">
        <f t="shared" ref="M39" si="12">M34</f>
        <v>240.73000000000002</v>
      </c>
    </row>
    <row r="40" spans="1:13" x14ac:dyDescent="0.25">
      <c r="A40" s="36" t="s">
        <v>132</v>
      </c>
      <c r="B40" s="38"/>
      <c r="C40" s="39">
        <f>SUM(C38:C39)</f>
        <v>35722.720000000001</v>
      </c>
      <c r="D40" s="38"/>
      <c r="E40" s="39">
        <f t="shared" ref="E40" si="13">SUM(E38:E39)</f>
        <v>10540.6</v>
      </c>
      <c r="F40" s="38"/>
      <c r="G40" s="39">
        <f t="shared" ref="G40" si="14">SUM(G38:G39)</f>
        <v>21210.53</v>
      </c>
      <c r="H40" s="38"/>
      <c r="I40" s="39">
        <f t="shared" ref="I40" si="15">SUM(I38:I39)</f>
        <v>7053.4500000000007</v>
      </c>
      <c r="J40" s="38"/>
      <c r="K40" s="39">
        <f t="shared" ref="K40" si="16">SUM(K38:K39)</f>
        <v>12791.3</v>
      </c>
      <c r="L40" s="38"/>
      <c r="M40" s="39">
        <f t="shared" ref="M40" si="17">SUM(M38:M39)</f>
        <v>7458.369999999999</v>
      </c>
    </row>
    <row r="42" spans="1:13" x14ac:dyDescent="0.25">
      <c r="A42" s="49" t="s">
        <v>143</v>
      </c>
    </row>
    <row r="43" spans="1:13" ht="16.5" x14ac:dyDescent="0.25">
      <c r="A43" s="51">
        <f>SUM(B40:M40)</f>
        <v>94776.97</v>
      </c>
    </row>
  </sheetData>
  <mergeCells count="24">
    <mergeCell ref="L18:M18"/>
    <mergeCell ref="B5:C5"/>
    <mergeCell ref="D5:E5"/>
    <mergeCell ref="F5:G5"/>
    <mergeCell ref="H5:I5"/>
    <mergeCell ref="J5:K5"/>
    <mergeCell ref="L5:M5"/>
    <mergeCell ref="B18:C18"/>
    <mergeCell ref="D18:E18"/>
    <mergeCell ref="F18:G18"/>
    <mergeCell ref="H18:I18"/>
    <mergeCell ref="J18:K18"/>
    <mergeCell ref="L26:M26"/>
    <mergeCell ref="B37:C37"/>
    <mergeCell ref="D37:E37"/>
    <mergeCell ref="F37:G37"/>
    <mergeCell ref="H37:I37"/>
    <mergeCell ref="J37:K37"/>
    <mergeCell ref="L37:M37"/>
    <mergeCell ref="B26:C26"/>
    <mergeCell ref="D26:E26"/>
    <mergeCell ref="F26:G26"/>
    <mergeCell ref="H26:I26"/>
    <mergeCell ref="J26:K26"/>
  </mergeCells>
  <pageMargins left="0.51181102362204722" right="0.51181102362204722" top="1.1023622047244095" bottom="0.78740157480314965" header="0.31496062992125984" footer="0.31496062992125984"/>
  <pageSetup paperSize="9" scale="90" fitToHeight="0" orientation="landscape" r:id="rId1"/>
  <headerFooter>
    <oddHeader>&amp;C&amp;G</oddHeader>
  </headerFooter>
  <rowBreaks count="1" manualBreakCount="1">
    <brk id="2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topLeftCell="A10" zoomScaleNormal="100" zoomScaleSheetLayoutView="100" workbookViewId="0">
      <selection activeCell="F15" sqref="F15"/>
    </sheetView>
  </sheetViews>
  <sheetFormatPr defaultRowHeight="15" x14ac:dyDescent="0.25"/>
  <cols>
    <col min="1" max="1" width="10.7109375" style="34" customWidth="1"/>
    <col min="2" max="2" width="20.7109375" style="34" customWidth="1"/>
    <col min="3" max="6" width="15.7109375" style="34" customWidth="1"/>
    <col min="7" max="16384" width="9.140625" style="34"/>
  </cols>
  <sheetData>
    <row r="1" spans="1:6" x14ac:dyDescent="0.25">
      <c r="A1" s="49" t="s">
        <v>145</v>
      </c>
    </row>
    <row r="3" spans="1:6" x14ac:dyDescent="0.25">
      <c r="A3" s="49" t="s">
        <v>146</v>
      </c>
    </row>
    <row r="4" spans="1:6" s="50" customFormat="1" ht="30" x14ac:dyDescent="0.25">
      <c r="A4" s="55" t="s">
        <v>147</v>
      </c>
      <c r="B4" s="55" t="s">
        <v>148</v>
      </c>
      <c r="C4" s="55" t="s">
        <v>149</v>
      </c>
      <c r="D4" s="55" t="s">
        <v>150</v>
      </c>
      <c r="E4" s="55" t="s">
        <v>151</v>
      </c>
      <c r="F4" s="55" t="s">
        <v>152</v>
      </c>
    </row>
    <row r="5" spans="1:6" s="88" customFormat="1" x14ac:dyDescent="0.25">
      <c r="A5" s="55">
        <v>1</v>
      </c>
      <c r="B5" s="37" t="str">
        <f>atend!A6</f>
        <v>Atendente III</v>
      </c>
      <c r="C5" s="89">
        <f>atend!D150</f>
        <v>4307.1000000000004</v>
      </c>
      <c r="D5" s="55">
        <f>atend!D6</f>
        <v>8</v>
      </c>
      <c r="E5" s="90">
        <f>C5*D5</f>
        <v>34456.800000000003</v>
      </c>
      <c r="F5" s="90">
        <f>E5*12</f>
        <v>413481.60000000003</v>
      </c>
    </row>
    <row r="6" spans="1:6" s="88" customFormat="1" x14ac:dyDescent="0.25">
      <c r="A6" s="55">
        <v>2</v>
      </c>
      <c r="B6" s="37" t="str">
        <f>atendlibras!A6</f>
        <v>Atendente IV (Libras)</v>
      </c>
      <c r="C6" s="89">
        <f>atendlibras!D150</f>
        <v>4941.0200000000004</v>
      </c>
      <c r="D6" s="55">
        <f>atendlibras!D6</f>
        <v>2</v>
      </c>
      <c r="E6" s="90">
        <f t="shared" ref="E6:E10" si="0">C6*D6</f>
        <v>9882.0400000000009</v>
      </c>
      <c r="F6" s="90">
        <f t="shared" ref="F6:F10" si="1">E6*12</f>
        <v>118584.48000000001</v>
      </c>
    </row>
    <row r="7" spans="1:6" s="88" customFormat="1" x14ac:dyDescent="0.25">
      <c r="A7" s="55">
        <v>3</v>
      </c>
      <c r="B7" s="37" t="str">
        <f>telef!A6</f>
        <v>Telefonista</v>
      </c>
      <c r="C7" s="89">
        <f>telef!D150</f>
        <v>3611.54</v>
      </c>
      <c r="D7" s="55">
        <f>telef!D6</f>
        <v>11</v>
      </c>
      <c r="E7" s="90">
        <f t="shared" si="0"/>
        <v>39726.94</v>
      </c>
      <c r="F7" s="90">
        <f t="shared" si="1"/>
        <v>476723.28</v>
      </c>
    </row>
    <row r="8" spans="1:6" s="88" customFormat="1" ht="30" x14ac:dyDescent="0.25">
      <c r="A8" s="55">
        <v>4</v>
      </c>
      <c r="B8" s="37" t="str">
        <f>teleflibras!A6</f>
        <v>Telefonista Bilíngue (Libras)</v>
      </c>
      <c r="C8" s="89">
        <f>teleflibras!D150</f>
        <v>4311.5200000000004</v>
      </c>
      <c r="D8" s="55">
        <f>teleflibras!D6</f>
        <v>3</v>
      </c>
      <c r="E8" s="90">
        <f t="shared" si="0"/>
        <v>12934.560000000001</v>
      </c>
      <c r="F8" s="90">
        <f t="shared" si="1"/>
        <v>155214.72000000003</v>
      </c>
    </row>
    <row r="9" spans="1:6" s="88" customFormat="1" x14ac:dyDescent="0.25">
      <c r="A9" s="55">
        <v>5</v>
      </c>
      <c r="B9" s="37" t="str">
        <f>super!A6</f>
        <v>Supervisor</v>
      </c>
      <c r="C9" s="89">
        <f>super!D150</f>
        <v>4904.71</v>
      </c>
      <c r="D9" s="55">
        <f>super!D6</f>
        <v>1</v>
      </c>
      <c r="E9" s="90">
        <f t="shared" si="0"/>
        <v>4904.71</v>
      </c>
      <c r="F9" s="90">
        <f t="shared" si="1"/>
        <v>58856.520000000004</v>
      </c>
    </row>
    <row r="10" spans="1:6" s="88" customFormat="1" x14ac:dyDescent="0.25">
      <c r="A10" s="55">
        <v>6</v>
      </c>
      <c r="B10" s="37" t="str">
        <f>auxsuper!A6</f>
        <v>Auxiliar de Supervisão</v>
      </c>
      <c r="C10" s="89">
        <f>auxsuper!D150</f>
        <v>4321.78</v>
      </c>
      <c r="D10" s="55">
        <f>auxsuper!D6</f>
        <v>2</v>
      </c>
      <c r="E10" s="90">
        <f t="shared" si="0"/>
        <v>8643.56</v>
      </c>
      <c r="F10" s="90">
        <f t="shared" si="1"/>
        <v>103722.72</v>
      </c>
    </row>
    <row r="11" spans="1:6" x14ac:dyDescent="0.25">
      <c r="D11" s="57">
        <f>SUM(D5:D10)</f>
        <v>27</v>
      </c>
      <c r="E11" s="58">
        <f>SUM(E5:E10)</f>
        <v>110548.61</v>
      </c>
      <c r="F11" s="58">
        <f>SUM(F5:F10)</f>
        <v>1326583.32</v>
      </c>
    </row>
    <row r="13" spans="1:6" x14ac:dyDescent="0.25">
      <c r="A13" s="49" t="s">
        <v>153</v>
      </c>
    </row>
    <row r="14" spans="1:6" ht="30" x14ac:dyDescent="0.25">
      <c r="A14" s="55" t="s">
        <v>147</v>
      </c>
      <c r="B14" s="55" t="s">
        <v>148</v>
      </c>
      <c r="C14" s="55" t="s">
        <v>149</v>
      </c>
      <c r="D14" s="55" t="s">
        <v>150</v>
      </c>
      <c r="E14" s="55" t="s">
        <v>151</v>
      </c>
      <c r="F14" s="55" t="s">
        <v>165</v>
      </c>
    </row>
    <row r="15" spans="1:6" s="88" customFormat="1" ht="30" x14ac:dyDescent="0.25">
      <c r="A15" s="55">
        <v>7</v>
      </c>
      <c r="B15" s="37" t="str">
        <f>atendtemp!A6</f>
        <v>Atendente III - acréscimo temporário</v>
      </c>
      <c r="C15" s="89">
        <f>atendtemp!D150</f>
        <v>4253.32</v>
      </c>
      <c r="D15" s="55">
        <f>atendtemp!D6</f>
        <v>40</v>
      </c>
      <c r="E15" s="90">
        <f>C15*D15</f>
        <v>170132.8</v>
      </c>
      <c r="F15" s="90">
        <f>E15*12*(61/365)</f>
        <v>341197.83452054794</v>
      </c>
    </row>
    <row r="16" spans="1:6" s="88" customFormat="1" ht="30" x14ac:dyDescent="0.25">
      <c r="A16" s="55">
        <v>8</v>
      </c>
      <c r="B16" s="37" t="str">
        <f>atendlibrastemp!A6</f>
        <v>Atendente IV (Libras) - acréscimo temporário</v>
      </c>
      <c r="C16" s="89">
        <f>atendlibrastemp!D150</f>
        <v>4855.1099999999997</v>
      </c>
      <c r="D16" s="55">
        <f>atendlibrastemp!D6</f>
        <v>2</v>
      </c>
      <c r="E16" s="90">
        <f t="shared" ref="E16:E19" si="2">C16*D16</f>
        <v>9710.2199999999993</v>
      </c>
      <c r="F16" s="90">
        <f t="shared" ref="F16:F19" si="3">E16*12*(61/365)</f>
        <v>19473.646684931504</v>
      </c>
    </row>
    <row r="17" spans="1:6" s="88" customFormat="1" ht="30" x14ac:dyDescent="0.25">
      <c r="A17" s="55">
        <v>9</v>
      </c>
      <c r="B17" s="37" t="str">
        <f>auxsupertemp!A6</f>
        <v>Auxiliar de Supervisão - acréscimo temporário</v>
      </c>
      <c r="C17" s="89">
        <f>auxsupertemp!D150</f>
        <v>4267.24</v>
      </c>
      <c r="D17" s="55">
        <f>auxsupertemp!D6</f>
        <v>2</v>
      </c>
      <c r="E17" s="90">
        <f t="shared" si="2"/>
        <v>8534.48</v>
      </c>
      <c r="F17" s="90">
        <f t="shared" si="3"/>
        <v>17115.724273972603</v>
      </c>
    </row>
    <row r="18" spans="1:6" s="88" customFormat="1" ht="30" x14ac:dyDescent="0.25">
      <c r="A18" s="55">
        <v>10</v>
      </c>
      <c r="B18" s="37" t="str">
        <f>teleftemp!A6</f>
        <v>Telefonista - acréscimo temporário</v>
      </c>
      <c r="C18" s="89">
        <f>teleftemp!D150</f>
        <v>3579.22</v>
      </c>
      <c r="D18" s="55">
        <f>teleftemp!D6</f>
        <v>11</v>
      </c>
      <c r="E18" s="90">
        <f t="shared" si="2"/>
        <v>39371.42</v>
      </c>
      <c r="F18" s="90">
        <f t="shared" si="3"/>
        <v>78958.573808219182</v>
      </c>
    </row>
    <row r="19" spans="1:6" s="88" customFormat="1" ht="45" x14ac:dyDescent="0.25">
      <c r="A19" s="55">
        <v>11</v>
      </c>
      <c r="B19" s="37" t="str">
        <f>teleflibrastemp!A6</f>
        <v>Telefonista Bilíngue (Libras) - acréscimo temporário</v>
      </c>
      <c r="C19" s="89">
        <f>teleflibrastemp!D150</f>
        <v>4243.7299999999996</v>
      </c>
      <c r="D19" s="55">
        <f>teleflibrastemp!D6</f>
        <v>2</v>
      </c>
      <c r="E19" s="90">
        <f t="shared" si="2"/>
        <v>8487.4599999999991</v>
      </c>
      <c r="F19" s="90">
        <f t="shared" si="3"/>
        <v>17021.426630136986</v>
      </c>
    </row>
    <row r="20" spans="1:6" x14ac:dyDescent="0.25">
      <c r="D20" s="57">
        <f>SUM(D15:D19)</f>
        <v>57</v>
      </c>
      <c r="E20" s="58">
        <f>SUM(E15:E19)</f>
        <v>236236.37999999998</v>
      </c>
      <c r="F20" s="58">
        <f>SUM(F15:F19)</f>
        <v>473767.20591780823</v>
      </c>
    </row>
    <row r="22" spans="1:6" x14ac:dyDescent="0.25">
      <c r="A22" s="49" t="s">
        <v>115</v>
      </c>
    </row>
    <row r="23" spans="1:6" x14ac:dyDescent="0.25">
      <c r="A23" s="54" t="s">
        <v>147</v>
      </c>
      <c r="B23" s="52" t="s">
        <v>148</v>
      </c>
      <c r="C23" s="53"/>
      <c r="D23" s="53"/>
      <c r="E23" s="53"/>
      <c r="F23" s="54" t="s">
        <v>154</v>
      </c>
    </row>
    <row r="24" spans="1:6" x14ac:dyDescent="0.25">
      <c r="A24" s="54">
        <v>12</v>
      </c>
      <c r="B24" s="53" t="str">
        <f>horaextra!A2</f>
        <v>ano eleitoral</v>
      </c>
      <c r="C24" s="53"/>
      <c r="D24" s="53"/>
      <c r="E24" s="53"/>
      <c r="F24" s="59">
        <f>horaextra!A43</f>
        <v>94776.97</v>
      </c>
    </row>
    <row r="26" spans="1:6" x14ac:dyDescent="0.25">
      <c r="A26" s="49" t="s">
        <v>156</v>
      </c>
    </row>
    <row r="27" spans="1:6" x14ac:dyDescent="0.25">
      <c r="A27" s="84" t="s">
        <v>155</v>
      </c>
      <c r="B27" s="84"/>
      <c r="C27" s="84"/>
      <c r="D27" s="84" t="s">
        <v>144</v>
      </c>
      <c r="E27" s="84"/>
      <c r="F27" s="84"/>
    </row>
    <row r="28" spans="1:6" x14ac:dyDescent="0.25">
      <c r="A28" s="44" t="s">
        <v>146</v>
      </c>
      <c r="B28" s="46"/>
      <c r="C28" s="62">
        <f>F11</f>
        <v>1326583.32</v>
      </c>
      <c r="D28" s="38" t="s">
        <v>146</v>
      </c>
      <c r="E28" s="53"/>
      <c r="F28" s="56">
        <f>F11</f>
        <v>1326583.32</v>
      </c>
    </row>
    <row r="29" spans="1:6" x14ac:dyDescent="0.25">
      <c r="A29" s="35"/>
      <c r="B29" s="47"/>
      <c r="C29" s="42"/>
      <c r="D29" s="38" t="s">
        <v>153</v>
      </c>
      <c r="E29" s="53"/>
      <c r="F29" s="56">
        <f>F20</f>
        <v>473767.20591780823</v>
      </c>
    </row>
    <row r="30" spans="1:6" x14ac:dyDescent="0.25">
      <c r="A30" s="45"/>
      <c r="B30" s="60"/>
      <c r="C30" s="43"/>
      <c r="D30" s="38" t="s">
        <v>115</v>
      </c>
      <c r="E30" s="53"/>
      <c r="F30" s="56">
        <f>F24</f>
        <v>94776.97</v>
      </c>
    </row>
    <row r="31" spans="1:6" x14ac:dyDescent="0.25">
      <c r="A31" s="38"/>
      <c r="B31" s="61" t="s">
        <v>158</v>
      </c>
      <c r="C31" s="58">
        <f>SUM(C28:C30)</f>
        <v>1326583.32</v>
      </c>
      <c r="D31" s="38"/>
      <c r="E31" s="61" t="s">
        <v>159</v>
      </c>
      <c r="F31" s="58">
        <f>SUM(F28:F30)</f>
        <v>1895127.4959178083</v>
      </c>
    </row>
    <row r="33" spans="2:5" x14ac:dyDescent="0.25">
      <c r="B33" s="85" t="s">
        <v>157</v>
      </c>
      <c r="C33" s="85"/>
      <c r="D33" s="85"/>
      <c r="E33" s="58">
        <f>C31+F31</f>
        <v>3221710.8159178086</v>
      </c>
    </row>
  </sheetData>
  <mergeCells count="3">
    <mergeCell ref="A27:C27"/>
    <mergeCell ref="D27:F27"/>
    <mergeCell ref="B33:D33"/>
  </mergeCells>
  <pageMargins left="0.51181102362204722" right="0.51181102362204722" top="1.1023622047244095" bottom="0.78740157480314965" header="0.31496062992125984" footer="0.31496062992125984"/>
  <pageSetup paperSize="9" scale="97" fitToHeight="0" orientation="portrait" r:id="rId1"/>
  <headerFooter>
    <oddHeader>&amp;C&amp;G</oddHeader>
    <oddFooter>&amp;L&amp;"-,Negrito"Documento elaborado em 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zoomScaleNormal="115" zoomScaleSheetLayoutView="100" workbookViewId="0">
      <selection activeCell="A7" sqref="A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1" t="s">
        <v>0</v>
      </c>
      <c r="B1" s="81"/>
      <c r="C1" s="81"/>
      <c r="D1" s="81"/>
    </row>
    <row r="2" spans="1:4" ht="15.75" x14ac:dyDescent="0.25">
      <c r="A2" s="26"/>
      <c r="B2" s="26"/>
      <c r="C2" s="26"/>
      <c r="D2" s="26"/>
    </row>
    <row r="3" spans="1:4" x14ac:dyDescent="0.2">
      <c r="A3" s="71" t="s">
        <v>88</v>
      </c>
      <c r="B3" s="71"/>
      <c r="C3" s="71"/>
      <c r="D3" s="71"/>
    </row>
    <row r="4" spans="1:4" x14ac:dyDescent="0.2">
      <c r="A4" s="2"/>
      <c r="B4" s="2"/>
      <c r="C4" s="2"/>
      <c r="D4" s="2"/>
    </row>
    <row r="5" spans="1:4" ht="38.25" x14ac:dyDescent="0.2">
      <c r="A5" s="83" t="s">
        <v>89</v>
      </c>
      <c r="B5" s="83"/>
      <c r="C5" s="32" t="s">
        <v>90</v>
      </c>
      <c r="D5" s="27" t="s">
        <v>91</v>
      </c>
    </row>
    <row r="6" spans="1:4" x14ac:dyDescent="0.2">
      <c r="A6" s="63" t="s">
        <v>160</v>
      </c>
      <c r="B6" s="63"/>
      <c r="C6" s="33" t="s">
        <v>100</v>
      </c>
      <c r="D6" s="33">
        <v>2</v>
      </c>
    </row>
    <row r="8" spans="1:4" x14ac:dyDescent="0.2">
      <c r="A8" s="71" t="s">
        <v>72</v>
      </c>
      <c r="B8" s="71"/>
      <c r="C8" s="71"/>
      <c r="D8" s="71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64" t="s">
        <v>138</v>
      </c>
      <c r="D10" s="65"/>
    </row>
    <row r="11" spans="1:4" x14ac:dyDescent="0.2">
      <c r="A11" s="5">
        <v>2</v>
      </c>
      <c r="B11" s="5" t="s">
        <v>92</v>
      </c>
      <c r="C11" s="64" t="s">
        <v>102</v>
      </c>
      <c r="D11" s="65"/>
    </row>
    <row r="12" spans="1:4" x14ac:dyDescent="0.2">
      <c r="A12" s="5">
        <v>3</v>
      </c>
      <c r="B12" s="5" t="s">
        <v>74</v>
      </c>
      <c r="C12" s="68">
        <v>1981.7</v>
      </c>
      <c r="D12" s="69"/>
    </row>
    <row r="13" spans="1:4" x14ac:dyDescent="0.2">
      <c r="A13" s="5">
        <v>4</v>
      </c>
      <c r="B13" s="5" t="s">
        <v>75</v>
      </c>
      <c r="C13" s="64" t="s">
        <v>101</v>
      </c>
      <c r="D13" s="65"/>
    </row>
    <row r="14" spans="1:4" x14ac:dyDescent="0.2">
      <c r="A14" s="5">
        <v>5</v>
      </c>
      <c r="B14" s="5" t="s">
        <v>76</v>
      </c>
      <c r="C14" s="70">
        <v>45657</v>
      </c>
      <c r="D14" s="65"/>
    </row>
    <row r="16" spans="1:4" x14ac:dyDescent="0.2">
      <c r="A16" s="71" t="s">
        <v>1</v>
      </c>
      <c r="B16" s="71"/>
      <c r="C16" s="71"/>
      <c r="D16" s="71"/>
    </row>
    <row r="18" spans="1:4" x14ac:dyDescent="0.2">
      <c r="A18" s="30">
        <v>1</v>
      </c>
      <c r="B18" s="66" t="s">
        <v>2</v>
      </c>
      <c r="C18" s="66"/>
      <c r="D18" s="30" t="s">
        <v>3</v>
      </c>
    </row>
    <row r="19" spans="1:4" x14ac:dyDescent="0.2">
      <c r="A19" s="32" t="s">
        <v>4</v>
      </c>
      <c r="B19" s="67" t="s">
        <v>5</v>
      </c>
      <c r="C19" s="67"/>
      <c r="D19" s="13">
        <v>1981.7</v>
      </c>
    </row>
    <row r="20" spans="1:4" x14ac:dyDescent="0.2">
      <c r="A20" s="32" t="s">
        <v>6</v>
      </c>
      <c r="B20" s="67" t="s">
        <v>7</v>
      </c>
      <c r="C20" s="67"/>
      <c r="D20" s="13"/>
    </row>
    <row r="21" spans="1:4" x14ac:dyDescent="0.2">
      <c r="A21" s="32" t="s">
        <v>8</v>
      </c>
      <c r="B21" s="67" t="s">
        <v>9</v>
      </c>
      <c r="C21" s="67"/>
      <c r="D21" s="13"/>
    </row>
    <row r="22" spans="1:4" x14ac:dyDescent="0.2">
      <c r="A22" s="32" t="s">
        <v>10</v>
      </c>
      <c r="B22" s="67" t="s">
        <v>11</v>
      </c>
      <c r="C22" s="67"/>
      <c r="D22" s="13"/>
    </row>
    <row r="23" spans="1:4" x14ac:dyDescent="0.2">
      <c r="A23" s="32" t="s">
        <v>12</v>
      </c>
      <c r="B23" s="67" t="s">
        <v>13</v>
      </c>
      <c r="C23" s="67"/>
      <c r="D23" s="13"/>
    </row>
    <row r="24" spans="1:4" x14ac:dyDescent="0.2">
      <c r="A24" s="32"/>
      <c r="B24" s="67"/>
      <c r="C24" s="67"/>
      <c r="D24" s="13"/>
    </row>
    <row r="25" spans="1:4" x14ac:dyDescent="0.2">
      <c r="A25" s="32" t="s">
        <v>14</v>
      </c>
      <c r="B25" s="67" t="s">
        <v>15</v>
      </c>
      <c r="C25" s="67"/>
      <c r="D25" s="13"/>
    </row>
    <row r="26" spans="1:4" x14ac:dyDescent="0.2">
      <c r="A26" s="66" t="s">
        <v>16</v>
      </c>
      <c r="B26" s="66"/>
      <c r="C26" s="66"/>
      <c r="D26" s="20">
        <f>SUM(D19:D25)</f>
        <v>1981.7</v>
      </c>
    </row>
    <row r="29" spans="1:4" x14ac:dyDescent="0.2">
      <c r="A29" s="72" t="s">
        <v>17</v>
      </c>
      <c r="B29" s="72"/>
      <c r="C29" s="72"/>
      <c r="D29" s="72"/>
    </row>
    <row r="30" spans="1:4" x14ac:dyDescent="0.2">
      <c r="A30" s="3"/>
    </row>
    <row r="31" spans="1:4" x14ac:dyDescent="0.2">
      <c r="A31" s="79" t="s">
        <v>18</v>
      </c>
      <c r="B31" s="79"/>
      <c r="C31" s="79"/>
      <c r="D31" s="79"/>
    </row>
    <row r="33" spans="1:4" x14ac:dyDescent="0.2">
      <c r="A33" s="30" t="s">
        <v>19</v>
      </c>
      <c r="B33" s="66" t="s">
        <v>20</v>
      </c>
      <c r="C33" s="66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165.07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220.16</v>
      </c>
    </row>
    <row r="36" spans="1:4" x14ac:dyDescent="0.2">
      <c r="A36" s="66" t="s">
        <v>16</v>
      </c>
      <c r="B36" s="66"/>
      <c r="C36" s="28">
        <f>SUM(C34:C35)</f>
        <v>0.19440000000000002</v>
      </c>
      <c r="D36" s="19">
        <f>SUM(D34:D35)</f>
        <v>385.23</v>
      </c>
    </row>
    <row r="39" spans="1:4" x14ac:dyDescent="0.2">
      <c r="A39" s="82" t="s">
        <v>23</v>
      </c>
      <c r="B39" s="82"/>
      <c r="C39" s="82"/>
      <c r="D39" s="82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473.38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59.17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71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35.5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23.66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14.2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4.7300000000000004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189.35</v>
      </c>
    </row>
    <row r="50" spans="1:4" x14ac:dyDescent="0.2">
      <c r="A50" s="66" t="s">
        <v>37</v>
      </c>
      <c r="B50" s="66"/>
      <c r="C50" s="15">
        <f>SUM(C42:C49)</f>
        <v>0.36800000000000005</v>
      </c>
      <c r="D50" s="19">
        <f>SUM(D42:D49)</f>
        <v>870.99</v>
      </c>
    </row>
    <row r="53" spans="1:4" x14ac:dyDescent="0.2">
      <c r="A53" s="79" t="s">
        <v>38</v>
      </c>
      <c r="B53" s="79"/>
      <c r="C53" s="79"/>
      <c r="D53" s="79"/>
    </row>
    <row r="55" spans="1:4" x14ac:dyDescent="0.2">
      <c r="A55" s="30" t="s">
        <v>39</v>
      </c>
      <c r="B55" s="78" t="s">
        <v>40</v>
      </c>
      <c r="C55" s="78"/>
      <c r="D55" s="30" t="s">
        <v>3</v>
      </c>
    </row>
    <row r="56" spans="1:4" x14ac:dyDescent="0.2">
      <c r="A56" s="32" t="s">
        <v>4</v>
      </c>
      <c r="B56" s="67" t="s">
        <v>41</v>
      </c>
      <c r="C56" s="67"/>
      <c r="D56" s="13">
        <f>IF((22*2*5.2)-(D19*0.06)&gt;0,(22*2*5.2)-(D19*0.06),0)</f>
        <v>109.89800000000001</v>
      </c>
    </row>
    <row r="57" spans="1:4" x14ac:dyDescent="0.2">
      <c r="A57" s="32" t="s">
        <v>6</v>
      </c>
      <c r="B57" s="67" t="s">
        <v>42</v>
      </c>
      <c r="C57" s="67"/>
      <c r="D57" s="13">
        <f>17*0.8*22</f>
        <v>299.20000000000005</v>
      </c>
    </row>
    <row r="58" spans="1:4" x14ac:dyDescent="0.2">
      <c r="A58" s="32" t="s">
        <v>8</v>
      </c>
      <c r="B58" s="67" t="s">
        <v>103</v>
      </c>
      <c r="C58" s="67"/>
      <c r="D58" s="13">
        <v>170</v>
      </c>
    </row>
    <row r="59" spans="1:4" x14ac:dyDescent="0.2">
      <c r="A59" s="32" t="s">
        <v>10</v>
      </c>
      <c r="B59" s="67" t="s">
        <v>104</v>
      </c>
      <c r="C59" s="67"/>
      <c r="D59" s="13">
        <v>14</v>
      </c>
    </row>
    <row r="60" spans="1:4" x14ac:dyDescent="0.2">
      <c r="A60" s="32" t="s">
        <v>10</v>
      </c>
      <c r="B60" s="67" t="s">
        <v>105</v>
      </c>
      <c r="C60" s="67"/>
      <c r="D60" s="13">
        <v>4.4800000000000004</v>
      </c>
    </row>
    <row r="61" spans="1:4" x14ac:dyDescent="0.2">
      <c r="A61" s="66" t="s">
        <v>16</v>
      </c>
      <c r="B61" s="66"/>
      <c r="C61" s="66"/>
      <c r="D61" s="19">
        <f>SUM(D56:D60)</f>
        <v>597.57800000000009</v>
      </c>
    </row>
    <row r="64" spans="1:4" x14ac:dyDescent="0.2">
      <c r="A64" s="79" t="s">
        <v>43</v>
      </c>
      <c r="B64" s="79"/>
      <c r="C64" s="79"/>
      <c r="D64" s="79"/>
    </row>
    <row r="66" spans="1:5" x14ac:dyDescent="0.2">
      <c r="A66" s="30">
        <v>2</v>
      </c>
      <c r="B66" s="78" t="s">
        <v>44</v>
      </c>
      <c r="C66" s="78"/>
      <c r="D66" s="30" t="s">
        <v>3</v>
      </c>
    </row>
    <row r="67" spans="1:5" x14ac:dyDescent="0.2">
      <c r="A67" s="32" t="s">
        <v>19</v>
      </c>
      <c r="B67" s="67" t="s">
        <v>20</v>
      </c>
      <c r="C67" s="67"/>
      <c r="D67" s="14">
        <f>D36</f>
        <v>385.23</v>
      </c>
    </row>
    <row r="68" spans="1:5" x14ac:dyDescent="0.2">
      <c r="A68" s="32" t="s">
        <v>24</v>
      </c>
      <c r="B68" s="67" t="s">
        <v>25</v>
      </c>
      <c r="C68" s="67"/>
      <c r="D68" s="14">
        <f>D50</f>
        <v>870.99</v>
      </c>
    </row>
    <row r="69" spans="1:5" x14ac:dyDescent="0.2">
      <c r="A69" s="32" t="s">
        <v>39</v>
      </c>
      <c r="B69" s="67" t="s">
        <v>40</v>
      </c>
      <c r="C69" s="67"/>
      <c r="D69" s="14">
        <f>D61</f>
        <v>597.57800000000009</v>
      </c>
    </row>
    <row r="70" spans="1:5" x14ac:dyDescent="0.2">
      <c r="A70" s="66" t="s">
        <v>16</v>
      </c>
      <c r="B70" s="66"/>
      <c r="C70" s="66"/>
      <c r="D70" s="19">
        <f>SUM(D67:D69)</f>
        <v>1853.7980000000002</v>
      </c>
    </row>
    <row r="71" spans="1:5" x14ac:dyDescent="0.2">
      <c r="A71" s="4"/>
      <c r="E71" s="18"/>
    </row>
    <row r="73" spans="1:5" x14ac:dyDescent="0.2">
      <c r="A73" s="72" t="s">
        <v>45</v>
      </c>
      <c r="B73" s="72"/>
      <c r="C73" s="72"/>
      <c r="D73" s="72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8" t="s">
        <v>46</v>
      </c>
      <c r="C75" s="78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TRUNC(((1/12)*5%),4)</f>
        <v>4.1000000000000003E-3</v>
      </c>
      <c r="D76" s="13">
        <f>TRUNC($D$26*C76,2)</f>
        <v>8.1199999999999992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0.64</v>
      </c>
    </row>
    <row r="78" spans="1:5" x14ac:dyDescent="0.2">
      <c r="A78" s="32" t="s">
        <v>8</v>
      </c>
      <c r="B78" s="10" t="s">
        <v>98</v>
      </c>
      <c r="C78" s="9">
        <f>TRUNC(8%*5%*40%,4)</f>
        <v>1.6000000000000001E-3</v>
      </c>
      <c r="D78" s="13">
        <f>TRUNC($D$26*C78,2)</f>
        <v>3.17</v>
      </c>
    </row>
    <row r="79" spans="1:5" x14ac:dyDescent="0.2">
      <c r="A79" s="32" t="s">
        <v>10</v>
      </c>
      <c r="B79" s="10" t="s">
        <v>49</v>
      </c>
      <c r="C79" s="9">
        <f>TRUNC(((7/30)/12)*95%,4)</f>
        <v>1.84E-2</v>
      </c>
      <c r="D79" s="13">
        <f>TRUNC($D$26*C79,2)</f>
        <v>36.46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13.41</v>
      </c>
    </row>
    <row r="81" spans="1:4" x14ac:dyDescent="0.2">
      <c r="A81" s="32" t="s">
        <v>32</v>
      </c>
      <c r="B81" s="10" t="s">
        <v>99</v>
      </c>
      <c r="C81" s="9">
        <f>TRUNC(8%*95%*40%,4)</f>
        <v>3.04E-2</v>
      </c>
      <c r="D81" s="13">
        <f t="shared" ref="D81" si="1">TRUNC($D$26*C81,2)</f>
        <v>60.24</v>
      </c>
    </row>
    <row r="82" spans="1:4" x14ac:dyDescent="0.2">
      <c r="A82" s="76" t="s">
        <v>16</v>
      </c>
      <c r="B82" s="77"/>
      <c r="C82" s="80"/>
      <c r="D82" s="19">
        <f>SUM(D76:D81)</f>
        <v>122.03999999999999</v>
      </c>
    </row>
    <row r="85" spans="1:4" x14ac:dyDescent="0.2">
      <c r="A85" s="72" t="s">
        <v>50</v>
      </c>
      <c r="B85" s="72"/>
      <c r="C85" s="72"/>
      <c r="D85" s="72"/>
    </row>
    <row r="88" spans="1:4" x14ac:dyDescent="0.2">
      <c r="A88" s="79" t="s">
        <v>77</v>
      </c>
      <c r="B88" s="79"/>
      <c r="C88" s="79"/>
      <c r="D88" s="79"/>
    </row>
    <row r="89" spans="1:4" x14ac:dyDescent="0.2">
      <c r="A89" s="3"/>
    </row>
    <row r="90" spans="1:4" x14ac:dyDescent="0.2">
      <c r="A90" s="30" t="s">
        <v>51</v>
      </c>
      <c r="B90" s="78" t="s">
        <v>78</v>
      </c>
      <c r="C90" s="78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</f>
        <v>9.1999999999999998E-3</v>
      </c>
      <c r="D91" s="13">
        <f>TRUNC(($D$26+$D$70+$D$82)*C91,2)</f>
        <v>36.4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21.76</v>
      </c>
    </row>
    <row r="93" spans="1:4" x14ac:dyDescent="0.2">
      <c r="A93" s="32" t="s">
        <v>8</v>
      </c>
      <c r="B93" s="29" t="s">
        <v>81</v>
      </c>
      <c r="C93" s="9">
        <f>TRUNC(((5/30)/12)*2%,4)</f>
        <v>2.0000000000000001E-4</v>
      </c>
      <c r="D93" s="13">
        <f t="shared" si="2"/>
        <v>0.79</v>
      </c>
    </row>
    <row r="94" spans="1:4" x14ac:dyDescent="0.2">
      <c r="A94" s="32" t="s">
        <v>10</v>
      </c>
      <c r="B94" s="29" t="s">
        <v>82</v>
      </c>
      <c r="C94" s="9">
        <f>TRUNC(((15/30)/12)*8%,4)</f>
        <v>3.3E-3</v>
      </c>
      <c r="D94" s="13">
        <f t="shared" si="2"/>
        <v>13.05</v>
      </c>
    </row>
    <row r="95" spans="1:4" x14ac:dyDescent="0.2">
      <c r="A95" s="32" t="s">
        <v>12</v>
      </c>
      <c r="B95" s="29" t="s">
        <v>83</v>
      </c>
      <c r="C95" s="9">
        <f>((1+1/3)/12)*3%*(4/12)</f>
        <v>1.1111111111111109E-3</v>
      </c>
      <c r="D95" s="13">
        <f t="shared" si="2"/>
        <v>4.3899999999999997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66" t="s">
        <v>37</v>
      </c>
      <c r="B97" s="66"/>
      <c r="C97" s="66"/>
      <c r="D97" s="19">
        <f>SUM(D91:D96)</f>
        <v>76.39</v>
      </c>
      <c r="E97" s="17"/>
      <c r="F97" s="17"/>
    </row>
    <row r="100" spans="1:6" x14ac:dyDescent="0.2">
      <c r="A100" s="79" t="s">
        <v>85</v>
      </c>
      <c r="B100" s="79"/>
      <c r="C100" s="79"/>
      <c r="D100" s="79"/>
    </row>
    <row r="101" spans="1:6" x14ac:dyDescent="0.2">
      <c r="A101" s="3"/>
    </row>
    <row r="102" spans="1:6" x14ac:dyDescent="0.2">
      <c r="A102" s="30" t="s">
        <v>52</v>
      </c>
      <c r="B102" s="78" t="s">
        <v>86</v>
      </c>
      <c r="C102" s="78"/>
      <c r="D102" s="30" t="s">
        <v>3</v>
      </c>
    </row>
    <row r="103" spans="1:6" x14ac:dyDescent="0.2">
      <c r="A103" s="32" t="s">
        <v>4</v>
      </c>
      <c r="B103" s="73" t="s">
        <v>87</v>
      </c>
      <c r="C103" s="74"/>
      <c r="D103" s="13">
        <f>((D26+D70+D82)/220)*22*0</f>
        <v>0</v>
      </c>
    </row>
    <row r="104" spans="1:6" x14ac:dyDescent="0.2">
      <c r="A104" s="66" t="s">
        <v>16</v>
      </c>
      <c r="B104" s="66"/>
      <c r="C104" s="66"/>
      <c r="D104" s="19">
        <f>SUM(D103)</f>
        <v>0</v>
      </c>
    </row>
    <row r="107" spans="1:6" x14ac:dyDescent="0.2">
      <c r="A107" s="79" t="s">
        <v>53</v>
      </c>
      <c r="B107" s="79"/>
      <c r="C107" s="79"/>
      <c r="D107" s="79"/>
    </row>
    <row r="108" spans="1:6" x14ac:dyDescent="0.2">
      <c r="A108" s="3"/>
    </row>
    <row r="109" spans="1:6" x14ac:dyDescent="0.2">
      <c r="A109" s="30">
        <v>4</v>
      </c>
      <c r="B109" s="66" t="s">
        <v>54</v>
      </c>
      <c r="C109" s="66"/>
      <c r="D109" s="30" t="s">
        <v>3</v>
      </c>
    </row>
    <row r="110" spans="1:6" x14ac:dyDescent="0.2">
      <c r="A110" s="32" t="s">
        <v>51</v>
      </c>
      <c r="B110" s="67" t="s">
        <v>78</v>
      </c>
      <c r="C110" s="67"/>
      <c r="D110" s="14">
        <f>D97</f>
        <v>76.39</v>
      </c>
    </row>
    <row r="111" spans="1:6" x14ac:dyDescent="0.2">
      <c r="A111" s="32" t="s">
        <v>52</v>
      </c>
      <c r="B111" s="67" t="s">
        <v>86</v>
      </c>
      <c r="C111" s="67"/>
      <c r="D111" s="14">
        <f>D104</f>
        <v>0</v>
      </c>
    </row>
    <row r="112" spans="1:6" x14ac:dyDescent="0.2">
      <c r="A112" s="66" t="s">
        <v>16</v>
      </c>
      <c r="B112" s="66"/>
      <c r="C112" s="66"/>
      <c r="D112" s="19">
        <f>SUM(D110:D111)</f>
        <v>76.39</v>
      </c>
    </row>
    <row r="115" spans="1:4" x14ac:dyDescent="0.2">
      <c r="A115" s="72" t="s">
        <v>55</v>
      </c>
      <c r="B115" s="72"/>
      <c r="C115" s="72"/>
      <c r="D115" s="72"/>
    </row>
    <row r="117" spans="1:4" x14ac:dyDescent="0.2">
      <c r="A117" s="30">
        <v>5</v>
      </c>
      <c r="B117" s="75" t="s">
        <v>56</v>
      </c>
      <c r="C117" s="75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v>21.44</v>
      </c>
    </row>
    <row r="119" spans="1:4" x14ac:dyDescent="0.2">
      <c r="A119" s="32" t="s">
        <v>6</v>
      </c>
      <c r="B119" s="29" t="s">
        <v>58</v>
      </c>
      <c r="C119" s="29"/>
      <c r="D119" s="13"/>
    </row>
    <row r="120" spans="1:4" x14ac:dyDescent="0.2">
      <c r="A120" s="32" t="s">
        <v>8</v>
      </c>
      <c r="B120" s="29" t="s">
        <v>59</v>
      </c>
      <c r="C120" s="29"/>
      <c r="D120" s="13"/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66" t="s">
        <v>37</v>
      </c>
      <c r="B122" s="66"/>
      <c r="C122" s="66"/>
      <c r="D122" s="20">
        <f>SUM(D118:D121)</f>
        <v>21.44</v>
      </c>
    </row>
    <row r="125" spans="1:4" x14ac:dyDescent="0.2">
      <c r="A125" s="72" t="s">
        <v>60</v>
      </c>
      <c r="B125" s="72"/>
      <c r="C125" s="72"/>
      <c r="D125" s="72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0.05</v>
      </c>
      <c r="D128" s="14">
        <f>D148*C128</f>
        <v>202.76840000000004</v>
      </c>
    </row>
    <row r="129" spans="1:4" x14ac:dyDescent="0.2">
      <c r="A129" s="32" t="s">
        <v>6</v>
      </c>
      <c r="B129" s="29" t="s">
        <v>63</v>
      </c>
      <c r="C129" s="9">
        <v>0.06</v>
      </c>
      <c r="D129" s="13">
        <f>(D148+D128)*C129</f>
        <v>255.48818400000002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427.39849645977012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32.116630000000001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148.23060000000001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247.05100000000004</v>
      </c>
    </row>
    <row r="137" spans="1:4" ht="13.5" x14ac:dyDescent="0.2">
      <c r="A137" s="76" t="s">
        <v>37</v>
      </c>
      <c r="B137" s="77"/>
      <c r="C137" s="21">
        <f>(1+C129)*(1+C128)/(1-C130)-1</f>
        <v>0.21839080459770144</v>
      </c>
      <c r="D137" s="19">
        <f>SUM(D128:D130)</f>
        <v>885.65508045977026</v>
      </c>
    </row>
    <row r="140" spans="1:4" x14ac:dyDescent="0.2">
      <c r="A140" s="72" t="s">
        <v>68</v>
      </c>
      <c r="B140" s="72"/>
      <c r="C140" s="72"/>
      <c r="D140" s="72"/>
    </row>
    <row r="142" spans="1:4" x14ac:dyDescent="0.2">
      <c r="A142" s="30"/>
      <c r="B142" s="66" t="s">
        <v>69</v>
      </c>
      <c r="C142" s="66"/>
      <c r="D142" s="30" t="s">
        <v>3</v>
      </c>
    </row>
    <row r="143" spans="1:4" x14ac:dyDescent="0.2">
      <c r="A143" s="30" t="s">
        <v>4</v>
      </c>
      <c r="B143" s="67" t="s">
        <v>1</v>
      </c>
      <c r="C143" s="67"/>
      <c r="D143" s="22">
        <f>D26</f>
        <v>1981.7</v>
      </c>
    </row>
    <row r="144" spans="1:4" x14ac:dyDescent="0.2">
      <c r="A144" s="30" t="s">
        <v>6</v>
      </c>
      <c r="B144" s="67" t="s">
        <v>17</v>
      </c>
      <c r="C144" s="67"/>
      <c r="D144" s="22">
        <f>D70</f>
        <v>1853.7980000000002</v>
      </c>
    </row>
    <row r="145" spans="1:4" x14ac:dyDescent="0.2">
      <c r="A145" s="30" t="s">
        <v>8</v>
      </c>
      <c r="B145" s="67" t="s">
        <v>45</v>
      </c>
      <c r="C145" s="67"/>
      <c r="D145" s="22">
        <f>D82</f>
        <v>122.03999999999999</v>
      </c>
    </row>
    <row r="146" spans="1:4" x14ac:dyDescent="0.2">
      <c r="A146" s="30" t="s">
        <v>10</v>
      </c>
      <c r="B146" s="67" t="s">
        <v>50</v>
      </c>
      <c r="C146" s="67"/>
      <c r="D146" s="22">
        <f>D112</f>
        <v>76.39</v>
      </c>
    </row>
    <row r="147" spans="1:4" x14ac:dyDescent="0.2">
      <c r="A147" s="30" t="s">
        <v>12</v>
      </c>
      <c r="B147" s="67" t="s">
        <v>55</v>
      </c>
      <c r="C147" s="67"/>
      <c r="D147" s="22">
        <f>D122</f>
        <v>21.44</v>
      </c>
    </row>
    <row r="148" spans="1:4" x14ac:dyDescent="0.2">
      <c r="A148" s="66" t="s">
        <v>94</v>
      </c>
      <c r="B148" s="66"/>
      <c r="C148" s="66"/>
      <c r="D148" s="23">
        <f>SUM(D143:D147)</f>
        <v>4055.3680000000004</v>
      </c>
    </row>
    <row r="149" spans="1:4" x14ac:dyDescent="0.2">
      <c r="A149" s="30" t="s">
        <v>32</v>
      </c>
      <c r="B149" s="67" t="s">
        <v>70</v>
      </c>
      <c r="C149" s="67"/>
      <c r="D149" s="24">
        <f>D137</f>
        <v>885.65508045977026</v>
      </c>
    </row>
    <row r="150" spans="1:4" x14ac:dyDescent="0.2">
      <c r="A150" s="66" t="s">
        <v>71</v>
      </c>
      <c r="B150" s="66"/>
      <c r="C150" s="66"/>
      <c r="D150" s="23">
        <f>ROUND(SUM(D148:D149),2)</f>
        <v>4941.0200000000004</v>
      </c>
    </row>
  </sheetData>
  <mergeCells count="71">
    <mergeCell ref="B146:C146"/>
    <mergeCell ref="B147:C147"/>
    <mergeCell ref="A148:C148"/>
    <mergeCell ref="B149:C149"/>
    <mergeCell ref="A150:C150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C10:D10"/>
    <mergeCell ref="A1:D1"/>
    <mergeCell ref="A3:D3"/>
    <mergeCell ref="A5:B5"/>
    <mergeCell ref="A6:B6"/>
    <mergeCell ref="A8:D8"/>
  </mergeCells>
  <pageMargins left="0.51181102362204722" right="0.51181102362204722" top="1.102362204724409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zoomScaleNormal="115" zoomScaleSheetLayoutView="100" workbookViewId="0">
      <selection activeCell="E3" sqref="E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1" t="s">
        <v>0</v>
      </c>
      <c r="B1" s="81"/>
      <c r="C1" s="81"/>
      <c r="D1" s="81"/>
    </row>
    <row r="2" spans="1:4" ht="15.75" x14ac:dyDescent="0.25">
      <c r="A2" s="26"/>
      <c r="B2" s="26"/>
      <c r="C2" s="26"/>
      <c r="D2" s="26"/>
    </row>
    <row r="3" spans="1:4" x14ac:dyDescent="0.2">
      <c r="A3" s="71" t="s">
        <v>88</v>
      </c>
      <c r="B3" s="71"/>
      <c r="C3" s="71"/>
      <c r="D3" s="71"/>
    </row>
    <row r="4" spans="1:4" x14ac:dyDescent="0.2">
      <c r="A4" s="2"/>
      <c r="B4" s="2"/>
      <c r="C4" s="2"/>
      <c r="D4" s="2"/>
    </row>
    <row r="5" spans="1:4" ht="38.25" x14ac:dyDescent="0.2">
      <c r="A5" s="83" t="s">
        <v>89</v>
      </c>
      <c r="B5" s="83"/>
      <c r="C5" s="32" t="s">
        <v>90</v>
      </c>
      <c r="D5" s="27" t="s">
        <v>91</v>
      </c>
    </row>
    <row r="6" spans="1:4" x14ac:dyDescent="0.2">
      <c r="A6" s="63" t="s">
        <v>106</v>
      </c>
      <c r="B6" s="63"/>
      <c r="C6" s="33" t="s">
        <v>100</v>
      </c>
      <c r="D6" s="33">
        <v>11</v>
      </c>
    </row>
    <row r="8" spans="1:4" x14ac:dyDescent="0.2">
      <c r="A8" s="71" t="s">
        <v>72</v>
      </c>
      <c r="B8" s="71"/>
      <c r="C8" s="71"/>
      <c r="D8" s="71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64" t="s">
        <v>106</v>
      </c>
      <c r="D10" s="65"/>
    </row>
    <row r="11" spans="1:4" x14ac:dyDescent="0.2">
      <c r="A11" s="5">
        <v>2</v>
      </c>
      <c r="B11" s="5" t="s">
        <v>92</v>
      </c>
      <c r="C11" s="64" t="s">
        <v>107</v>
      </c>
      <c r="D11" s="65"/>
    </row>
    <row r="12" spans="1:4" x14ac:dyDescent="0.2">
      <c r="A12" s="5">
        <v>3</v>
      </c>
      <c r="B12" s="5" t="s">
        <v>74</v>
      </c>
      <c r="C12" s="68">
        <v>1510.09</v>
      </c>
      <c r="D12" s="69"/>
    </row>
    <row r="13" spans="1:4" x14ac:dyDescent="0.2">
      <c r="A13" s="5">
        <v>4</v>
      </c>
      <c r="B13" s="5" t="s">
        <v>75</v>
      </c>
      <c r="C13" s="64" t="s">
        <v>101</v>
      </c>
      <c r="D13" s="65"/>
    </row>
    <row r="14" spans="1:4" x14ac:dyDescent="0.2">
      <c r="A14" s="5">
        <v>5</v>
      </c>
      <c r="B14" s="5" t="s">
        <v>76</v>
      </c>
      <c r="C14" s="70">
        <v>45657</v>
      </c>
      <c r="D14" s="65"/>
    </row>
    <row r="16" spans="1:4" x14ac:dyDescent="0.2">
      <c r="A16" s="71" t="s">
        <v>1</v>
      </c>
      <c r="B16" s="71"/>
      <c r="C16" s="71"/>
      <c r="D16" s="71"/>
    </row>
    <row r="18" spans="1:4" x14ac:dyDescent="0.2">
      <c r="A18" s="30">
        <v>1</v>
      </c>
      <c r="B18" s="66" t="s">
        <v>2</v>
      </c>
      <c r="C18" s="66"/>
      <c r="D18" s="30" t="s">
        <v>3</v>
      </c>
    </row>
    <row r="19" spans="1:4" x14ac:dyDescent="0.2">
      <c r="A19" s="32" t="s">
        <v>4</v>
      </c>
      <c r="B19" s="67" t="s">
        <v>5</v>
      </c>
      <c r="C19" s="67"/>
      <c r="D19" s="13">
        <v>1510.09</v>
      </c>
    </row>
    <row r="20" spans="1:4" x14ac:dyDescent="0.2">
      <c r="A20" s="32" t="s">
        <v>6</v>
      </c>
      <c r="B20" s="67" t="s">
        <v>7</v>
      </c>
      <c r="C20" s="67"/>
      <c r="D20" s="13"/>
    </row>
    <row r="21" spans="1:4" x14ac:dyDescent="0.2">
      <c r="A21" s="32" t="s">
        <v>8</v>
      </c>
      <c r="B21" s="67" t="s">
        <v>9</v>
      </c>
      <c r="C21" s="67"/>
      <c r="D21" s="13"/>
    </row>
    <row r="22" spans="1:4" x14ac:dyDescent="0.2">
      <c r="A22" s="32" t="s">
        <v>10</v>
      </c>
      <c r="B22" s="67" t="s">
        <v>11</v>
      </c>
      <c r="C22" s="67"/>
      <c r="D22" s="13"/>
    </row>
    <row r="23" spans="1:4" x14ac:dyDescent="0.2">
      <c r="A23" s="32" t="s">
        <v>12</v>
      </c>
      <c r="B23" s="67" t="s">
        <v>13</v>
      </c>
      <c r="C23" s="67"/>
      <c r="D23" s="13"/>
    </row>
    <row r="24" spans="1:4" x14ac:dyDescent="0.2">
      <c r="A24" s="32"/>
      <c r="B24" s="67"/>
      <c r="C24" s="67"/>
      <c r="D24" s="13"/>
    </row>
    <row r="25" spans="1:4" x14ac:dyDescent="0.2">
      <c r="A25" s="32" t="s">
        <v>14</v>
      </c>
      <c r="B25" s="67" t="s">
        <v>15</v>
      </c>
      <c r="C25" s="67"/>
      <c r="D25" s="13"/>
    </row>
    <row r="26" spans="1:4" x14ac:dyDescent="0.2">
      <c r="A26" s="66" t="s">
        <v>16</v>
      </c>
      <c r="B26" s="66"/>
      <c r="C26" s="66"/>
      <c r="D26" s="20">
        <f>SUM(D19:D25)</f>
        <v>1510.09</v>
      </c>
    </row>
    <row r="29" spans="1:4" x14ac:dyDescent="0.2">
      <c r="A29" s="72" t="s">
        <v>17</v>
      </c>
      <c r="B29" s="72"/>
      <c r="C29" s="72"/>
      <c r="D29" s="72"/>
    </row>
    <row r="30" spans="1:4" x14ac:dyDescent="0.2">
      <c r="A30" s="3"/>
    </row>
    <row r="31" spans="1:4" x14ac:dyDescent="0.2">
      <c r="A31" s="79" t="s">
        <v>18</v>
      </c>
      <c r="B31" s="79"/>
      <c r="C31" s="79"/>
      <c r="D31" s="79"/>
    </row>
    <row r="33" spans="1:4" x14ac:dyDescent="0.2">
      <c r="A33" s="30" t="s">
        <v>19</v>
      </c>
      <c r="B33" s="66" t="s">
        <v>20</v>
      </c>
      <c r="C33" s="66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125.79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167.77</v>
      </c>
    </row>
    <row r="36" spans="1:4" x14ac:dyDescent="0.2">
      <c r="A36" s="66" t="s">
        <v>16</v>
      </c>
      <c r="B36" s="66"/>
      <c r="C36" s="28">
        <f>SUM(C34:C35)</f>
        <v>0.19440000000000002</v>
      </c>
      <c r="D36" s="19">
        <f>SUM(D34:D35)</f>
        <v>293.56</v>
      </c>
    </row>
    <row r="39" spans="1:4" x14ac:dyDescent="0.2">
      <c r="A39" s="82" t="s">
        <v>23</v>
      </c>
      <c r="B39" s="82"/>
      <c r="C39" s="82"/>
      <c r="D39" s="82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360.73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45.09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54.1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27.05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18.03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10.82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3.6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144.29</v>
      </c>
    </row>
    <row r="50" spans="1:4" x14ac:dyDescent="0.2">
      <c r="A50" s="66" t="s">
        <v>37</v>
      </c>
      <c r="B50" s="66"/>
      <c r="C50" s="15">
        <f>SUM(C42:C49)</f>
        <v>0.36800000000000005</v>
      </c>
      <c r="D50" s="19">
        <f>SUM(D42:D49)</f>
        <v>663.71000000000015</v>
      </c>
    </row>
    <row r="53" spans="1:4" x14ac:dyDescent="0.2">
      <c r="A53" s="79" t="s">
        <v>38</v>
      </c>
      <c r="B53" s="79"/>
      <c r="C53" s="79"/>
      <c r="D53" s="79"/>
    </row>
    <row r="55" spans="1:4" x14ac:dyDescent="0.2">
      <c r="A55" s="30" t="s">
        <v>39</v>
      </c>
      <c r="B55" s="78" t="s">
        <v>40</v>
      </c>
      <c r="C55" s="78"/>
      <c r="D55" s="30" t="s">
        <v>3</v>
      </c>
    </row>
    <row r="56" spans="1:4" x14ac:dyDescent="0.2">
      <c r="A56" s="32" t="s">
        <v>4</v>
      </c>
      <c r="B56" s="67" t="s">
        <v>41</v>
      </c>
      <c r="C56" s="67"/>
      <c r="D56" s="13">
        <f>IF((22*2*5.2)-(D19*0.06)&gt;0,(22*2*5.2)-(D19*0.06),0)</f>
        <v>138.19460000000004</v>
      </c>
    </row>
    <row r="57" spans="1:4" x14ac:dyDescent="0.2">
      <c r="A57" s="32" t="s">
        <v>6</v>
      </c>
      <c r="B57" s="67" t="s">
        <v>42</v>
      </c>
      <c r="C57" s="67"/>
      <c r="D57" s="13">
        <v>0</v>
      </c>
    </row>
    <row r="58" spans="1:4" x14ac:dyDescent="0.2">
      <c r="A58" s="32" t="s">
        <v>8</v>
      </c>
      <c r="B58" s="67" t="s">
        <v>103</v>
      </c>
      <c r="C58" s="67"/>
      <c r="D58" s="13">
        <v>170</v>
      </c>
    </row>
    <row r="59" spans="1:4" x14ac:dyDescent="0.2">
      <c r="A59" s="32" t="s">
        <v>10</v>
      </c>
      <c r="B59" s="67" t="s">
        <v>104</v>
      </c>
      <c r="C59" s="67"/>
      <c r="D59" s="13">
        <v>14</v>
      </c>
    </row>
    <row r="60" spans="1:4" x14ac:dyDescent="0.2">
      <c r="A60" s="32" t="s">
        <v>10</v>
      </c>
      <c r="B60" s="67" t="s">
        <v>105</v>
      </c>
      <c r="C60" s="67"/>
      <c r="D60" s="13">
        <v>4.4800000000000004</v>
      </c>
    </row>
    <row r="61" spans="1:4" x14ac:dyDescent="0.2">
      <c r="A61" s="66" t="s">
        <v>16</v>
      </c>
      <c r="B61" s="66"/>
      <c r="C61" s="66"/>
      <c r="D61" s="19">
        <f>SUM(D56:D60)</f>
        <v>326.67460000000005</v>
      </c>
    </row>
    <row r="64" spans="1:4" x14ac:dyDescent="0.2">
      <c r="A64" s="79" t="s">
        <v>43</v>
      </c>
      <c r="B64" s="79"/>
      <c r="C64" s="79"/>
      <c r="D64" s="79"/>
    </row>
    <row r="66" spans="1:5" x14ac:dyDescent="0.2">
      <c r="A66" s="30">
        <v>2</v>
      </c>
      <c r="B66" s="78" t="s">
        <v>44</v>
      </c>
      <c r="C66" s="78"/>
      <c r="D66" s="30" t="s">
        <v>3</v>
      </c>
    </row>
    <row r="67" spans="1:5" x14ac:dyDescent="0.2">
      <c r="A67" s="32" t="s">
        <v>19</v>
      </c>
      <c r="B67" s="67" t="s">
        <v>20</v>
      </c>
      <c r="C67" s="67"/>
      <c r="D67" s="14">
        <f>D36</f>
        <v>293.56</v>
      </c>
    </row>
    <row r="68" spans="1:5" x14ac:dyDescent="0.2">
      <c r="A68" s="32" t="s">
        <v>24</v>
      </c>
      <c r="B68" s="67" t="s">
        <v>25</v>
      </c>
      <c r="C68" s="67"/>
      <c r="D68" s="14">
        <f>D50</f>
        <v>663.71000000000015</v>
      </c>
    </row>
    <row r="69" spans="1:5" x14ac:dyDescent="0.2">
      <c r="A69" s="32" t="s">
        <v>39</v>
      </c>
      <c r="B69" s="67" t="s">
        <v>40</v>
      </c>
      <c r="C69" s="67"/>
      <c r="D69" s="14">
        <f>D61</f>
        <v>326.67460000000005</v>
      </c>
    </row>
    <row r="70" spans="1:5" x14ac:dyDescent="0.2">
      <c r="A70" s="66" t="s">
        <v>16</v>
      </c>
      <c r="B70" s="66"/>
      <c r="C70" s="66"/>
      <c r="D70" s="19">
        <f>SUM(D67:D69)</f>
        <v>1283.9446000000003</v>
      </c>
    </row>
    <row r="71" spans="1:5" x14ac:dyDescent="0.2">
      <c r="A71" s="4"/>
      <c r="E71" s="18"/>
    </row>
    <row r="73" spans="1:5" x14ac:dyDescent="0.2">
      <c r="A73" s="72" t="s">
        <v>45</v>
      </c>
      <c r="B73" s="72"/>
      <c r="C73" s="72"/>
      <c r="D73" s="72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8" t="s">
        <v>46</v>
      </c>
      <c r="C75" s="78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TRUNC(((1/12)*5%),4)</f>
        <v>4.1000000000000003E-3</v>
      </c>
      <c r="D76" s="13">
        <f>TRUNC($D$26*C76,2)</f>
        <v>6.19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0.49</v>
      </c>
    </row>
    <row r="78" spans="1:5" x14ac:dyDescent="0.2">
      <c r="A78" s="32" t="s">
        <v>8</v>
      </c>
      <c r="B78" s="10" t="s">
        <v>98</v>
      </c>
      <c r="C78" s="9">
        <f>TRUNC(8%*5%*40%,4)</f>
        <v>1.6000000000000001E-3</v>
      </c>
      <c r="D78" s="13">
        <f>TRUNC($D$26*C78,2)</f>
        <v>2.41</v>
      </c>
    </row>
    <row r="79" spans="1:5" x14ac:dyDescent="0.2">
      <c r="A79" s="32" t="s">
        <v>10</v>
      </c>
      <c r="B79" s="10" t="s">
        <v>49</v>
      </c>
      <c r="C79" s="9">
        <f>TRUNC(((7/30)/12)*95%,4)</f>
        <v>1.84E-2</v>
      </c>
      <c r="D79" s="13">
        <f>TRUNC($D$26*C79,2)</f>
        <v>27.78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10.220000000000001</v>
      </c>
    </row>
    <row r="81" spans="1:4" x14ac:dyDescent="0.2">
      <c r="A81" s="32" t="s">
        <v>32</v>
      </c>
      <c r="B81" s="10" t="s">
        <v>99</v>
      </c>
      <c r="C81" s="9">
        <f>TRUNC(8%*95%*40%,4)</f>
        <v>3.04E-2</v>
      </c>
      <c r="D81" s="13">
        <f t="shared" ref="D81" si="1">TRUNC($D$26*C81,2)</f>
        <v>45.9</v>
      </c>
    </row>
    <row r="82" spans="1:4" x14ac:dyDescent="0.2">
      <c r="A82" s="76" t="s">
        <v>16</v>
      </c>
      <c r="B82" s="77"/>
      <c r="C82" s="80"/>
      <c r="D82" s="19">
        <f>SUM(D76:D81)</f>
        <v>92.990000000000009</v>
      </c>
    </row>
    <row r="85" spans="1:4" x14ac:dyDescent="0.2">
      <c r="A85" s="72" t="s">
        <v>50</v>
      </c>
      <c r="B85" s="72"/>
      <c r="C85" s="72"/>
      <c r="D85" s="72"/>
    </row>
    <row r="88" spans="1:4" x14ac:dyDescent="0.2">
      <c r="A88" s="79" t="s">
        <v>77</v>
      </c>
      <c r="B88" s="79"/>
      <c r="C88" s="79"/>
      <c r="D88" s="79"/>
    </row>
    <row r="89" spans="1:4" x14ac:dyDescent="0.2">
      <c r="A89" s="3"/>
    </row>
    <row r="90" spans="1:4" x14ac:dyDescent="0.2">
      <c r="A90" s="30" t="s">
        <v>51</v>
      </c>
      <c r="B90" s="78" t="s">
        <v>78</v>
      </c>
      <c r="C90" s="78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</f>
        <v>9.1999999999999998E-3</v>
      </c>
      <c r="D91" s="13">
        <f>TRUNC(($D$26+$D$70+$D$82)*C91,2)</f>
        <v>26.56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15.87</v>
      </c>
    </row>
    <row r="93" spans="1:4" x14ac:dyDescent="0.2">
      <c r="A93" s="32" t="s">
        <v>8</v>
      </c>
      <c r="B93" s="29" t="s">
        <v>81</v>
      </c>
      <c r="C93" s="9">
        <f>TRUNC(((5/30)/12)*2%,4)</f>
        <v>2.0000000000000001E-4</v>
      </c>
      <c r="D93" s="13">
        <f t="shared" si="2"/>
        <v>0.56999999999999995</v>
      </c>
    </row>
    <row r="94" spans="1:4" x14ac:dyDescent="0.2">
      <c r="A94" s="32" t="s">
        <v>10</v>
      </c>
      <c r="B94" s="29" t="s">
        <v>82</v>
      </c>
      <c r="C94" s="9">
        <f>TRUNC(((15/30)/12)*8%,4)</f>
        <v>3.3E-3</v>
      </c>
      <c r="D94" s="13">
        <f t="shared" si="2"/>
        <v>9.52</v>
      </c>
    </row>
    <row r="95" spans="1:4" x14ac:dyDescent="0.2">
      <c r="A95" s="32" t="s">
        <v>12</v>
      </c>
      <c r="B95" s="29" t="s">
        <v>83</v>
      </c>
      <c r="C95" s="9">
        <f>((1+1/3)/12)*3%*(4/12)</f>
        <v>1.1111111111111109E-3</v>
      </c>
      <c r="D95" s="13">
        <f t="shared" si="2"/>
        <v>3.2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66" t="s">
        <v>37</v>
      </c>
      <c r="B97" s="66"/>
      <c r="C97" s="66"/>
      <c r="D97" s="19">
        <f>SUM(D91:D96)</f>
        <v>55.72</v>
      </c>
      <c r="E97" s="17"/>
      <c r="F97" s="17"/>
    </row>
    <row r="100" spans="1:6" x14ac:dyDescent="0.2">
      <c r="A100" s="79" t="s">
        <v>85</v>
      </c>
      <c r="B100" s="79"/>
      <c r="C100" s="79"/>
      <c r="D100" s="79"/>
    </row>
    <row r="101" spans="1:6" x14ac:dyDescent="0.2">
      <c r="A101" s="3"/>
    </row>
    <row r="102" spans="1:6" x14ac:dyDescent="0.2">
      <c r="A102" s="30" t="s">
        <v>52</v>
      </c>
      <c r="B102" s="78" t="s">
        <v>86</v>
      </c>
      <c r="C102" s="78"/>
      <c r="D102" s="30" t="s">
        <v>3</v>
      </c>
    </row>
    <row r="103" spans="1:6" x14ac:dyDescent="0.2">
      <c r="A103" s="32" t="s">
        <v>4</v>
      </c>
      <c r="B103" s="73" t="s">
        <v>87</v>
      </c>
      <c r="C103" s="74"/>
      <c r="D103" s="13">
        <f>((D26+D70+D82)/220)*22*0</f>
        <v>0</v>
      </c>
    </row>
    <row r="104" spans="1:6" x14ac:dyDescent="0.2">
      <c r="A104" s="66" t="s">
        <v>16</v>
      </c>
      <c r="B104" s="66"/>
      <c r="C104" s="66"/>
      <c r="D104" s="19">
        <f>SUM(D103)</f>
        <v>0</v>
      </c>
    </row>
    <row r="107" spans="1:6" x14ac:dyDescent="0.2">
      <c r="A107" s="79" t="s">
        <v>53</v>
      </c>
      <c r="B107" s="79"/>
      <c r="C107" s="79"/>
      <c r="D107" s="79"/>
    </row>
    <row r="108" spans="1:6" x14ac:dyDescent="0.2">
      <c r="A108" s="3"/>
    </row>
    <row r="109" spans="1:6" x14ac:dyDescent="0.2">
      <c r="A109" s="30">
        <v>4</v>
      </c>
      <c r="B109" s="66" t="s">
        <v>54</v>
      </c>
      <c r="C109" s="66"/>
      <c r="D109" s="30" t="s">
        <v>3</v>
      </c>
    </row>
    <row r="110" spans="1:6" x14ac:dyDescent="0.2">
      <c r="A110" s="32" t="s">
        <v>51</v>
      </c>
      <c r="B110" s="67" t="s">
        <v>78</v>
      </c>
      <c r="C110" s="67"/>
      <c r="D110" s="14">
        <f>D97</f>
        <v>55.72</v>
      </c>
    </row>
    <row r="111" spans="1:6" x14ac:dyDescent="0.2">
      <c r="A111" s="32" t="s">
        <v>52</v>
      </c>
      <c r="B111" s="67" t="s">
        <v>86</v>
      </c>
      <c r="C111" s="67"/>
      <c r="D111" s="14">
        <f>D104</f>
        <v>0</v>
      </c>
    </row>
    <row r="112" spans="1:6" x14ac:dyDescent="0.2">
      <c r="A112" s="66" t="s">
        <v>16</v>
      </c>
      <c r="B112" s="66"/>
      <c r="C112" s="66"/>
      <c r="D112" s="19">
        <f>SUM(D110:D111)</f>
        <v>55.72</v>
      </c>
    </row>
    <row r="115" spans="1:4" x14ac:dyDescent="0.2">
      <c r="A115" s="72" t="s">
        <v>55</v>
      </c>
      <c r="B115" s="72"/>
      <c r="C115" s="72"/>
      <c r="D115" s="72"/>
    </row>
    <row r="117" spans="1:4" x14ac:dyDescent="0.2">
      <c r="A117" s="30">
        <v>5</v>
      </c>
      <c r="B117" s="75" t="s">
        <v>56</v>
      </c>
      <c r="C117" s="75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v>21.44</v>
      </c>
    </row>
    <row r="119" spans="1:4" x14ac:dyDescent="0.2">
      <c r="A119" s="32" t="s">
        <v>6</v>
      </c>
      <c r="B119" s="29" t="s">
        <v>58</v>
      </c>
      <c r="C119" s="29"/>
      <c r="D119" s="13"/>
    </row>
    <row r="120" spans="1:4" x14ac:dyDescent="0.2">
      <c r="A120" s="32" t="s">
        <v>8</v>
      </c>
      <c r="B120" s="29" t="s">
        <v>59</v>
      </c>
      <c r="C120" s="29"/>
      <c r="D120" s="13"/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66" t="s">
        <v>37</v>
      </c>
      <c r="B122" s="66"/>
      <c r="C122" s="66"/>
      <c r="D122" s="20">
        <f>SUM(D118:D121)</f>
        <v>21.44</v>
      </c>
    </row>
    <row r="125" spans="1:4" x14ac:dyDescent="0.2">
      <c r="A125" s="72" t="s">
        <v>60</v>
      </c>
      <c r="B125" s="72"/>
      <c r="C125" s="72"/>
      <c r="D125" s="72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0.05</v>
      </c>
      <c r="D128" s="14">
        <f>D148*C128</f>
        <v>148.20922999999999</v>
      </c>
    </row>
    <row r="129" spans="1:4" x14ac:dyDescent="0.2">
      <c r="A129" s="32" t="s">
        <v>6</v>
      </c>
      <c r="B129" s="29" t="s">
        <v>63</v>
      </c>
      <c r="C129" s="9">
        <v>0.06</v>
      </c>
      <c r="D129" s="13">
        <f>(D148+D128)*C129</f>
        <v>186.74362979999995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312.39779997011487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23.475009999999997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108.3462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180.577</v>
      </c>
    </row>
    <row r="137" spans="1:4" ht="13.5" x14ac:dyDescent="0.2">
      <c r="A137" s="76" t="s">
        <v>37</v>
      </c>
      <c r="B137" s="77"/>
      <c r="C137" s="21">
        <f>(1+C129)*(1+C128)/(1-C130)-1</f>
        <v>0.21839080459770144</v>
      </c>
      <c r="D137" s="19">
        <f>SUM(D128:D130)</f>
        <v>647.35065977011482</v>
      </c>
    </row>
    <row r="140" spans="1:4" x14ac:dyDescent="0.2">
      <c r="A140" s="72" t="s">
        <v>68</v>
      </c>
      <c r="B140" s="72"/>
      <c r="C140" s="72"/>
      <c r="D140" s="72"/>
    </row>
    <row r="142" spans="1:4" x14ac:dyDescent="0.2">
      <c r="A142" s="30"/>
      <c r="B142" s="66" t="s">
        <v>69</v>
      </c>
      <c r="C142" s="66"/>
      <c r="D142" s="30" t="s">
        <v>3</v>
      </c>
    </row>
    <row r="143" spans="1:4" x14ac:dyDescent="0.2">
      <c r="A143" s="30" t="s">
        <v>4</v>
      </c>
      <c r="B143" s="67" t="s">
        <v>1</v>
      </c>
      <c r="C143" s="67"/>
      <c r="D143" s="22">
        <f>D26</f>
        <v>1510.09</v>
      </c>
    </row>
    <row r="144" spans="1:4" x14ac:dyDescent="0.2">
      <c r="A144" s="30" t="s">
        <v>6</v>
      </c>
      <c r="B144" s="67" t="s">
        <v>17</v>
      </c>
      <c r="C144" s="67"/>
      <c r="D144" s="22">
        <f>D70</f>
        <v>1283.9446000000003</v>
      </c>
    </row>
    <row r="145" spans="1:4" x14ac:dyDescent="0.2">
      <c r="A145" s="30" t="s">
        <v>8</v>
      </c>
      <c r="B145" s="67" t="s">
        <v>45</v>
      </c>
      <c r="C145" s="67"/>
      <c r="D145" s="22">
        <f>D82</f>
        <v>92.990000000000009</v>
      </c>
    </row>
    <row r="146" spans="1:4" x14ac:dyDescent="0.2">
      <c r="A146" s="30" t="s">
        <v>10</v>
      </c>
      <c r="B146" s="67" t="s">
        <v>50</v>
      </c>
      <c r="C146" s="67"/>
      <c r="D146" s="22">
        <f>D112</f>
        <v>55.72</v>
      </c>
    </row>
    <row r="147" spans="1:4" x14ac:dyDescent="0.2">
      <c r="A147" s="30" t="s">
        <v>12</v>
      </c>
      <c r="B147" s="67" t="s">
        <v>55</v>
      </c>
      <c r="C147" s="67"/>
      <c r="D147" s="22">
        <f>D122</f>
        <v>21.44</v>
      </c>
    </row>
    <row r="148" spans="1:4" x14ac:dyDescent="0.2">
      <c r="A148" s="66" t="s">
        <v>94</v>
      </c>
      <c r="B148" s="66"/>
      <c r="C148" s="66"/>
      <c r="D148" s="23">
        <f>SUM(D143:D147)</f>
        <v>2964.1845999999996</v>
      </c>
    </row>
    <row r="149" spans="1:4" x14ac:dyDescent="0.2">
      <c r="A149" s="30" t="s">
        <v>32</v>
      </c>
      <c r="B149" s="67" t="s">
        <v>70</v>
      </c>
      <c r="C149" s="67"/>
      <c r="D149" s="24">
        <f>D137</f>
        <v>647.35065977011482</v>
      </c>
    </row>
    <row r="150" spans="1:4" x14ac:dyDescent="0.2">
      <c r="A150" s="66" t="s">
        <v>71</v>
      </c>
      <c r="B150" s="66"/>
      <c r="C150" s="66"/>
      <c r="D150" s="23">
        <f>ROUND(SUM(D148:D149),2)</f>
        <v>3611.54</v>
      </c>
    </row>
  </sheetData>
  <mergeCells count="71">
    <mergeCell ref="B146:C146"/>
    <mergeCell ref="B147:C147"/>
    <mergeCell ref="A148:C148"/>
    <mergeCell ref="B149:C149"/>
    <mergeCell ref="A150:C150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C10:D10"/>
    <mergeCell ref="A1:D1"/>
    <mergeCell ref="A3:D3"/>
    <mergeCell ref="A5:B5"/>
    <mergeCell ref="A6:B6"/>
    <mergeCell ref="A8:D8"/>
  </mergeCells>
  <pageMargins left="0.51181102362204722" right="0.51181102362204722" top="1.102362204724409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zoomScaleNormal="115" zoomScaleSheetLayoutView="100" workbookViewId="0">
      <selection activeCell="A7" sqref="A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1" t="s">
        <v>0</v>
      </c>
      <c r="B1" s="81"/>
      <c r="C1" s="81"/>
      <c r="D1" s="81"/>
    </row>
    <row r="2" spans="1:4" ht="15.75" x14ac:dyDescent="0.25">
      <c r="A2" s="26"/>
      <c r="B2" s="26"/>
      <c r="C2" s="26"/>
      <c r="D2" s="26"/>
    </row>
    <row r="3" spans="1:4" x14ac:dyDescent="0.2">
      <c r="A3" s="71" t="s">
        <v>88</v>
      </c>
      <c r="B3" s="71"/>
      <c r="C3" s="71"/>
      <c r="D3" s="71"/>
    </row>
    <row r="4" spans="1:4" x14ac:dyDescent="0.2">
      <c r="A4" s="2"/>
      <c r="B4" s="2"/>
      <c r="C4" s="2"/>
      <c r="D4" s="2"/>
    </row>
    <row r="5" spans="1:4" ht="38.25" x14ac:dyDescent="0.2">
      <c r="A5" s="83" t="s">
        <v>89</v>
      </c>
      <c r="B5" s="83"/>
      <c r="C5" s="32" t="s">
        <v>90</v>
      </c>
      <c r="D5" s="27" t="s">
        <v>91</v>
      </c>
    </row>
    <row r="6" spans="1:4" x14ac:dyDescent="0.2">
      <c r="A6" s="63" t="s">
        <v>161</v>
      </c>
      <c r="B6" s="63"/>
      <c r="C6" s="33" t="s">
        <v>100</v>
      </c>
      <c r="D6" s="33">
        <v>3</v>
      </c>
    </row>
    <row r="8" spans="1:4" x14ac:dyDescent="0.2">
      <c r="A8" s="71" t="s">
        <v>72</v>
      </c>
      <c r="B8" s="71"/>
      <c r="C8" s="71"/>
      <c r="D8" s="71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64" t="s">
        <v>108</v>
      </c>
      <c r="D10" s="65"/>
    </row>
    <row r="11" spans="1:4" x14ac:dyDescent="0.2">
      <c r="A11" s="5">
        <v>2</v>
      </c>
      <c r="B11" s="5" t="s">
        <v>92</v>
      </c>
      <c r="C11" s="64" t="s">
        <v>107</v>
      </c>
      <c r="D11" s="65"/>
    </row>
    <row r="12" spans="1:4" x14ac:dyDescent="0.2">
      <c r="A12" s="5">
        <v>3</v>
      </c>
      <c r="B12" s="5" t="s">
        <v>74</v>
      </c>
      <c r="C12" s="68">
        <v>1854.71</v>
      </c>
      <c r="D12" s="69"/>
    </row>
    <row r="13" spans="1:4" x14ac:dyDescent="0.2">
      <c r="A13" s="5">
        <v>4</v>
      </c>
      <c r="B13" s="5" t="s">
        <v>75</v>
      </c>
      <c r="C13" s="64" t="s">
        <v>101</v>
      </c>
      <c r="D13" s="65"/>
    </row>
    <row r="14" spans="1:4" x14ac:dyDescent="0.2">
      <c r="A14" s="5">
        <v>5</v>
      </c>
      <c r="B14" s="5" t="s">
        <v>76</v>
      </c>
      <c r="C14" s="70">
        <v>45657</v>
      </c>
      <c r="D14" s="65"/>
    </row>
    <row r="16" spans="1:4" x14ac:dyDescent="0.2">
      <c r="A16" s="71" t="s">
        <v>1</v>
      </c>
      <c r="B16" s="71"/>
      <c r="C16" s="71"/>
      <c r="D16" s="71"/>
    </row>
    <row r="18" spans="1:4" x14ac:dyDescent="0.2">
      <c r="A18" s="30">
        <v>1</v>
      </c>
      <c r="B18" s="66" t="s">
        <v>2</v>
      </c>
      <c r="C18" s="66"/>
      <c r="D18" s="30" t="s">
        <v>3</v>
      </c>
    </row>
    <row r="19" spans="1:4" x14ac:dyDescent="0.2">
      <c r="A19" s="32" t="s">
        <v>4</v>
      </c>
      <c r="B19" s="67" t="s">
        <v>5</v>
      </c>
      <c r="C19" s="67"/>
      <c r="D19" s="13">
        <v>1854.71</v>
      </c>
    </row>
    <row r="20" spans="1:4" x14ac:dyDescent="0.2">
      <c r="A20" s="32" t="s">
        <v>6</v>
      </c>
      <c r="B20" s="67" t="s">
        <v>7</v>
      </c>
      <c r="C20" s="67"/>
      <c r="D20" s="13"/>
    </row>
    <row r="21" spans="1:4" x14ac:dyDescent="0.2">
      <c r="A21" s="32" t="s">
        <v>8</v>
      </c>
      <c r="B21" s="67" t="s">
        <v>9</v>
      </c>
      <c r="C21" s="67"/>
      <c r="D21" s="13"/>
    </row>
    <row r="22" spans="1:4" x14ac:dyDescent="0.2">
      <c r="A22" s="32" t="s">
        <v>10</v>
      </c>
      <c r="B22" s="67" t="s">
        <v>11</v>
      </c>
      <c r="C22" s="67"/>
      <c r="D22" s="13"/>
    </row>
    <row r="23" spans="1:4" x14ac:dyDescent="0.2">
      <c r="A23" s="32" t="s">
        <v>12</v>
      </c>
      <c r="B23" s="67" t="s">
        <v>13</v>
      </c>
      <c r="C23" s="67"/>
      <c r="D23" s="13"/>
    </row>
    <row r="24" spans="1:4" x14ac:dyDescent="0.2">
      <c r="A24" s="32"/>
      <c r="B24" s="67"/>
      <c r="C24" s="67"/>
      <c r="D24" s="13"/>
    </row>
    <row r="25" spans="1:4" x14ac:dyDescent="0.2">
      <c r="A25" s="32" t="s">
        <v>14</v>
      </c>
      <c r="B25" s="67" t="s">
        <v>15</v>
      </c>
      <c r="C25" s="67"/>
      <c r="D25" s="13"/>
    </row>
    <row r="26" spans="1:4" x14ac:dyDescent="0.2">
      <c r="A26" s="66" t="s">
        <v>16</v>
      </c>
      <c r="B26" s="66"/>
      <c r="C26" s="66"/>
      <c r="D26" s="20">
        <f>SUM(D19:D25)</f>
        <v>1854.71</v>
      </c>
    </row>
    <row r="29" spans="1:4" x14ac:dyDescent="0.2">
      <c r="A29" s="72" t="s">
        <v>17</v>
      </c>
      <c r="B29" s="72"/>
      <c r="C29" s="72"/>
      <c r="D29" s="72"/>
    </row>
    <row r="30" spans="1:4" x14ac:dyDescent="0.2">
      <c r="A30" s="3"/>
    </row>
    <row r="31" spans="1:4" x14ac:dyDescent="0.2">
      <c r="A31" s="79" t="s">
        <v>18</v>
      </c>
      <c r="B31" s="79"/>
      <c r="C31" s="79"/>
      <c r="D31" s="79"/>
    </row>
    <row r="33" spans="1:4" x14ac:dyDescent="0.2">
      <c r="A33" s="30" t="s">
        <v>19</v>
      </c>
      <c r="B33" s="66" t="s">
        <v>20</v>
      </c>
      <c r="C33" s="66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154.49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206.05</v>
      </c>
    </row>
    <row r="36" spans="1:4" x14ac:dyDescent="0.2">
      <c r="A36" s="66" t="s">
        <v>16</v>
      </c>
      <c r="B36" s="66"/>
      <c r="C36" s="28">
        <f>SUM(C34:C35)</f>
        <v>0.19440000000000002</v>
      </c>
      <c r="D36" s="19">
        <f>SUM(D34:D35)</f>
        <v>360.54</v>
      </c>
    </row>
    <row r="39" spans="1:4" x14ac:dyDescent="0.2">
      <c r="A39" s="82" t="s">
        <v>23</v>
      </c>
      <c r="B39" s="82"/>
      <c r="C39" s="82"/>
      <c r="D39" s="82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443.05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55.38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66.45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33.22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22.15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13.29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4.43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177.22</v>
      </c>
    </row>
    <row r="50" spans="1:4" x14ac:dyDescent="0.2">
      <c r="A50" s="66" t="s">
        <v>37</v>
      </c>
      <c r="B50" s="66"/>
      <c r="C50" s="15">
        <f>SUM(C42:C49)</f>
        <v>0.36800000000000005</v>
      </c>
      <c r="D50" s="19">
        <f>SUM(D42:D49)</f>
        <v>815.18999999999994</v>
      </c>
    </row>
    <row r="53" spans="1:4" x14ac:dyDescent="0.2">
      <c r="A53" s="79" t="s">
        <v>38</v>
      </c>
      <c r="B53" s="79"/>
      <c r="C53" s="79"/>
      <c r="D53" s="79"/>
    </row>
    <row r="55" spans="1:4" x14ac:dyDescent="0.2">
      <c r="A55" s="30" t="s">
        <v>39</v>
      </c>
      <c r="B55" s="78" t="s">
        <v>40</v>
      </c>
      <c r="C55" s="78"/>
      <c r="D55" s="30" t="s">
        <v>3</v>
      </c>
    </row>
    <row r="56" spans="1:4" x14ac:dyDescent="0.2">
      <c r="A56" s="32" t="s">
        <v>4</v>
      </c>
      <c r="B56" s="67" t="s">
        <v>41</v>
      </c>
      <c r="C56" s="67"/>
      <c r="D56" s="13">
        <f>IF((22*2*5.2)-(D19*0.06)&gt;0,(22*2*5.2)-(D19*0.06),0)</f>
        <v>117.51740000000001</v>
      </c>
    </row>
    <row r="57" spans="1:4" x14ac:dyDescent="0.2">
      <c r="A57" s="32" t="s">
        <v>6</v>
      </c>
      <c r="B57" s="67" t="s">
        <v>42</v>
      </c>
      <c r="C57" s="67"/>
      <c r="D57" s="13">
        <v>0</v>
      </c>
    </row>
    <row r="58" spans="1:4" x14ac:dyDescent="0.2">
      <c r="A58" s="32" t="s">
        <v>8</v>
      </c>
      <c r="B58" s="67" t="s">
        <v>103</v>
      </c>
      <c r="C58" s="67"/>
      <c r="D58" s="13">
        <v>170</v>
      </c>
    </row>
    <row r="59" spans="1:4" x14ac:dyDescent="0.2">
      <c r="A59" s="32" t="s">
        <v>10</v>
      </c>
      <c r="B59" s="67" t="s">
        <v>104</v>
      </c>
      <c r="C59" s="67"/>
      <c r="D59" s="13">
        <v>14</v>
      </c>
    </row>
    <row r="60" spans="1:4" x14ac:dyDescent="0.2">
      <c r="A60" s="32" t="s">
        <v>10</v>
      </c>
      <c r="B60" s="67" t="s">
        <v>105</v>
      </c>
      <c r="C60" s="67"/>
      <c r="D60" s="13">
        <v>4.4800000000000004</v>
      </c>
    </row>
    <row r="61" spans="1:4" x14ac:dyDescent="0.2">
      <c r="A61" s="66" t="s">
        <v>16</v>
      </c>
      <c r="B61" s="66"/>
      <c r="C61" s="66"/>
      <c r="D61" s="19">
        <f>SUM(D56:D60)</f>
        <v>305.99740000000003</v>
      </c>
    </row>
    <row r="64" spans="1:4" x14ac:dyDescent="0.2">
      <c r="A64" s="79" t="s">
        <v>43</v>
      </c>
      <c r="B64" s="79"/>
      <c r="C64" s="79"/>
      <c r="D64" s="79"/>
    </row>
    <row r="66" spans="1:5" x14ac:dyDescent="0.2">
      <c r="A66" s="30">
        <v>2</v>
      </c>
      <c r="B66" s="78" t="s">
        <v>44</v>
      </c>
      <c r="C66" s="78"/>
      <c r="D66" s="30" t="s">
        <v>3</v>
      </c>
    </row>
    <row r="67" spans="1:5" x14ac:dyDescent="0.2">
      <c r="A67" s="32" t="s">
        <v>19</v>
      </c>
      <c r="B67" s="67" t="s">
        <v>20</v>
      </c>
      <c r="C67" s="67"/>
      <c r="D67" s="14">
        <f>D36</f>
        <v>360.54</v>
      </c>
    </row>
    <row r="68" spans="1:5" x14ac:dyDescent="0.2">
      <c r="A68" s="32" t="s">
        <v>24</v>
      </c>
      <c r="B68" s="67" t="s">
        <v>25</v>
      </c>
      <c r="C68" s="67"/>
      <c r="D68" s="14">
        <f>D50</f>
        <v>815.18999999999994</v>
      </c>
    </row>
    <row r="69" spans="1:5" x14ac:dyDescent="0.2">
      <c r="A69" s="32" t="s">
        <v>39</v>
      </c>
      <c r="B69" s="67" t="s">
        <v>40</v>
      </c>
      <c r="C69" s="67"/>
      <c r="D69" s="14">
        <f>D61</f>
        <v>305.99740000000003</v>
      </c>
    </row>
    <row r="70" spans="1:5" x14ac:dyDescent="0.2">
      <c r="A70" s="66" t="s">
        <v>16</v>
      </c>
      <c r="B70" s="66"/>
      <c r="C70" s="66"/>
      <c r="D70" s="19">
        <f>SUM(D67:D69)</f>
        <v>1481.7274</v>
      </c>
    </row>
    <row r="71" spans="1:5" x14ac:dyDescent="0.2">
      <c r="A71" s="4"/>
      <c r="E71" s="18"/>
    </row>
    <row r="73" spans="1:5" x14ac:dyDescent="0.2">
      <c r="A73" s="72" t="s">
        <v>45</v>
      </c>
      <c r="B73" s="72"/>
      <c r="C73" s="72"/>
      <c r="D73" s="72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8" t="s">
        <v>46</v>
      </c>
      <c r="C75" s="78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TRUNC(((1/12)*5%),4)</f>
        <v>4.1000000000000003E-3</v>
      </c>
      <c r="D76" s="13">
        <f>TRUNC($D$26*C76,2)</f>
        <v>7.6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0.6</v>
      </c>
    </row>
    <row r="78" spans="1:5" x14ac:dyDescent="0.2">
      <c r="A78" s="32" t="s">
        <v>8</v>
      </c>
      <c r="B78" s="10" t="s">
        <v>98</v>
      </c>
      <c r="C78" s="9">
        <f>TRUNC(8%*5%*40%,4)</f>
        <v>1.6000000000000001E-3</v>
      </c>
      <c r="D78" s="13">
        <f>TRUNC($D$26*C78,2)</f>
        <v>2.96</v>
      </c>
    </row>
    <row r="79" spans="1:5" x14ac:dyDescent="0.2">
      <c r="A79" s="32" t="s">
        <v>10</v>
      </c>
      <c r="B79" s="10" t="s">
        <v>49</v>
      </c>
      <c r="C79" s="9">
        <f>TRUNC(((7/30)/12)*95%,4)</f>
        <v>1.84E-2</v>
      </c>
      <c r="D79" s="13">
        <f>TRUNC($D$26*C79,2)</f>
        <v>34.119999999999997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12.55</v>
      </c>
    </row>
    <row r="81" spans="1:4" x14ac:dyDescent="0.2">
      <c r="A81" s="32" t="s">
        <v>32</v>
      </c>
      <c r="B81" s="10" t="s">
        <v>99</v>
      </c>
      <c r="C81" s="9">
        <f>TRUNC(8%*95%*40%,4)</f>
        <v>3.04E-2</v>
      </c>
      <c r="D81" s="13">
        <f t="shared" ref="D81" si="1">TRUNC($D$26*C81,2)</f>
        <v>56.38</v>
      </c>
    </row>
    <row r="82" spans="1:4" x14ac:dyDescent="0.2">
      <c r="A82" s="76" t="s">
        <v>16</v>
      </c>
      <c r="B82" s="77"/>
      <c r="C82" s="80"/>
      <c r="D82" s="19">
        <f>SUM(D76:D81)</f>
        <v>114.21000000000001</v>
      </c>
    </row>
    <row r="85" spans="1:4" x14ac:dyDescent="0.2">
      <c r="A85" s="72" t="s">
        <v>50</v>
      </c>
      <c r="B85" s="72"/>
      <c r="C85" s="72"/>
      <c r="D85" s="72"/>
    </row>
    <row r="88" spans="1:4" x14ac:dyDescent="0.2">
      <c r="A88" s="79" t="s">
        <v>77</v>
      </c>
      <c r="B88" s="79"/>
      <c r="C88" s="79"/>
      <c r="D88" s="79"/>
    </row>
    <row r="89" spans="1:4" x14ac:dyDescent="0.2">
      <c r="A89" s="3"/>
    </row>
    <row r="90" spans="1:4" x14ac:dyDescent="0.2">
      <c r="A90" s="30" t="s">
        <v>51</v>
      </c>
      <c r="B90" s="78" t="s">
        <v>78</v>
      </c>
      <c r="C90" s="78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</f>
        <v>9.1999999999999998E-3</v>
      </c>
      <c r="D91" s="13">
        <f>TRUNC(($D$26+$D$70+$D$82)*C91,2)</f>
        <v>31.74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18.97</v>
      </c>
    </row>
    <row r="93" spans="1:4" x14ac:dyDescent="0.2">
      <c r="A93" s="32" t="s">
        <v>8</v>
      </c>
      <c r="B93" s="29" t="s">
        <v>81</v>
      </c>
      <c r="C93" s="9">
        <f>TRUNC(((5/30)/12)*2%,4)</f>
        <v>2.0000000000000001E-4</v>
      </c>
      <c r="D93" s="13">
        <f t="shared" si="2"/>
        <v>0.69</v>
      </c>
    </row>
    <row r="94" spans="1:4" x14ac:dyDescent="0.2">
      <c r="A94" s="32" t="s">
        <v>10</v>
      </c>
      <c r="B94" s="29" t="s">
        <v>82</v>
      </c>
      <c r="C94" s="9">
        <f>TRUNC(((15/30)/12)*8%,4)</f>
        <v>3.3E-3</v>
      </c>
      <c r="D94" s="13">
        <f t="shared" si="2"/>
        <v>11.38</v>
      </c>
    </row>
    <row r="95" spans="1:4" x14ac:dyDescent="0.2">
      <c r="A95" s="32" t="s">
        <v>12</v>
      </c>
      <c r="B95" s="29" t="s">
        <v>83</v>
      </c>
      <c r="C95" s="9">
        <f>((1+1/3)/12)*3%*(4/12)</f>
        <v>1.1111111111111109E-3</v>
      </c>
      <c r="D95" s="13">
        <f t="shared" si="2"/>
        <v>3.83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66" t="s">
        <v>37</v>
      </c>
      <c r="B97" s="66"/>
      <c r="C97" s="66"/>
      <c r="D97" s="19">
        <f>SUM(D91:D96)</f>
        <v>66.61</v>
      </c>
      <c r="E97" s="17"/>
      <c r="F97" s="17"/>
    </row>
    <row r="100" spans="1:6" x14ac:dyDescent="0.2">
      <c r="A100" s="79" t="s">
        <v>85</v>
      </c>
      <c r="B100" s="79"/>
      <c r="C100" s="79"/>
      <c r="D100" s="79"/>
    </row>
    <row r="101" spans="1:6" x14ac:dyDescent="0.2">
      <c r="A101" s="3"/>
    </row>
    <row r="102" spans="1:6" x14ac:dyDescent="0.2">
      <c r="A102" s="30" t="s">
        <v>52</v>
      </c>
      <c r="B102" s="78" t="s">
        <v>86</v>
      </c>
      <c r="C102" s="78"/>
      <c r="D102" s="30" t="s">
        <v>3</v>
      </c>
    </row>
    <row r="103" spans="1:6" x14ac:dyDescent="0.2">
      <c r="A103" s="32" t="s">
        <v>4</v>
      </c>
      <c r="B103" s="73" t="s">
        <v>87</v>
      </c>
      <c r="C103" s="74"/>
      <c r="D103" s="13">
        <f>((D26+D70+D82)/220)*22*0</f>
        <v>0</v>
      </c>
    </row>
    <row r="104" spans="1:6" x14ac:dyDescent="0.2">
      <c r="A104" s="66" t="s">
        <v>16</v>
      </c>
      <c r="B104" s="66"/>
      <c r="C104" s="66"/>
      <c r="D104" s="19">
        <f>SUM(D103)</f>
        <v>0</v>
      </c>
    </row>
    <row r="107" spans="1:6" x14ac:dyDescent="0.2">
      <c r="A107" s="79" t="s">
        <v>53</v>
      </c>
      <c r="B107" s="79"/>
      <c r="C107" s="79"/>
      <c r="D107" s="79"/>
    </row>
    <row r="108" spans="1:6" x14ac:dyDescent="0.2">
      <c r="A108" s="3"/>
    </row>
    <row r="109" spans="1:6" x14ac:dyDescent="0.2">
      <c r="A109" s="30">
        <v>4</v>
      </c>
      <c r="B109" s="66" t="s">
        <v>54</v>
      </c>
      <c r="C109" s="66"/>
      <c r="D109" s="30" t="s">
        <v>3</v>
      </c>
    </row>
    <row r="110" spans="1:6" x14ac:dyDescent="0.2">
      <c r="A110" s="32" t="s">
        <v>51</v>
      </c>
      <c r="B110" s="67" t="s">
        <v>78</v>
      </c>
      <c r="C110" s="67"/>
      <c r="D110" s="14">
        <f>D97</f>
        <v>66.61</v>
      </c>
    </row>
    <row r="111" spans="1:6" x14ac:dyDescent="0.2">
      <c r="A111" s="32" t="s">
        <v>52</v>
      </c>
      <c r="B111" s="67" t="s">
        <v>86</v>
      </c>
      <c r="C111" s="67"/>
      <c r="D111" s="14">
        <f>D104</f>
        <v>0</v>
      </c>
    </row>
    <row r="112" spans="1:6" x14ac:dyDescent="0.2">
      <c r="A112" s="66" t="s">
        <v>16</v>
      </c>
      <c r="B112" s="66"/>
      <c r="C112" s="66"/>
      <c r="D112" s="19">
        <f>SUM(D110:D111)</f>
        <v>66.61</v>
      </c>
    </row>
    <row r="115" spans="1:4" x14ac:dyDescent="0.2">
      <c r="A115" s="72" t="s">
        <v>55</v>
      </c>
      <c r="B115" s="72"/>
      <c r="C115" s="72"/>
      <c r="D115" s="72"/>
    </row>
    <row r="117" spans="1:4" x14ac:dyDescent="0.2">
      <c r="A117" s="30">
        <v>5</v>
      </c>
      <c r="B117" s="75" t="s">
        <v>56</v>
      </c>
      <c r="C117" s="75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v>21.44</v>
      </c>
    </row>
    <row r="119" spans="1:4" x14ac:dyDescent="0.2">
      <c r="A119" s="32" t="s">
        <v>6</v>
      </c>
      <c r="B119" s="29" t="s">
        <v>58</v>
      </c>
      <c r="C119" s="29"/>
      <c r="D119" s="13"/>
    </row>
    <row r="120" spans="1:4" x14ac:dyDescent="0.2">
      <c r="A120" s="32" t="s">
        <v>8</v>
      </c>
      <c r="B120" s="29" t="s">
        <v>59</v>
      </c>
      <c r="C120" s="29"/>
      <c r="D120" s="13"/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66" t="s">
        <v>37</v>
      </c>
      <c r="B122" s="66"/>
      <c r="C122" s="66"/>
      <c r="D122" s="20">
        <f>SUM(D118:D121)</f>
        <v>21.44</v>
      </c>
    </row>
    <row r="125" spans="1:4" x14ac:dyDescent="0.2">
      <c r="A125" s="72" t="s">
        <v>60</v>
      </c>
      <c r="B125" s="72"/>
      <c r="C125" s="72"/>
      <c r="D125" s="72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0.05</v>
      </c>
      <c r="D128" s="14">
        <f>D148*C128</f>
        <v>176.93487000000002</v>
      </c>
    </row>
    <row r="129" spans="1:4" x14ac:dyDescent="0.2">
      <c r="A129" s="32" t="s">
        <v>6</v>
      </c>
      <c r="B129" s="29" t="s">
        <v>63</v>
      </c>
      <c r="C129" s="9">
        <v>0.06</v>
      </c>
      <c r="D129" s="13">
        <f>(D148+D128)*C129</f>
        <v>222.9379362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372.94616621379305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28.024880000000003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129.34560000000002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215.57600000000002</v>
      </c>
    </row>
    <row r="137" spans="1:4" ht="13.5" x14ac:dyDescent="0.2">
      <c r="A137" s="76" t="s">
        <v>37</v>
      </c>
      <c r="B137" s="77"/>
      <c r="C137" s="21">
        <f>(1+C129)*(1+C128)/(1-C130)-1</f>
        <v>0.21839080459770144</v>
      </c>
      <c r="D137" s="19">
        <f>SUM(D128:D130)</f>
        <v>772.81897241379306</v>
      </c>
    </row>
    <row r="140" spans="1:4" x14ac:dyDescent="0.2">
      <c r="A140" s="72" t="s">
        <v>68</v>
      </c>
      <c r="B140" s="72"/>
      <c r="C140" s="72"/>
      <c r="D140" s="72"/>
    </row>
    <row r="142" spans="1:4" x14ac:dyDescent="0.2">
      <c r="A142" s="30"/>
      <c r="B142" s="66" t="s">
        <v>69</v>
      </c>
      <c r="C142" s="66"/>
      <c r="D142" s="30" t="s">
        <v>3</v>
      </c>
    </row>
    <row r="143" spans="1:4" x14ac:dyDescent="0.2">
      <c r="A143" s="30" t="s">
        <v>4</v>
      </c>
      <c r="B143" s="67" t="s">
        <v>1</v>
      </c>
      <c r="C143" s="67"/>
      <c r="D143" s="22">
        <f>D26</f>
        <v>1854.71</v>
      </c>
    </row>
    <row r="144" spans="1:4" x14ac:dyDescent="0.2">
      <c r="A144" s="30" t="s">
        <v>6</v>
      </c>
      <c r="B144" s="67" t="s">
        <v>17</v>
      </c>
      <c r="C144" s="67"/>
      <c r="D144" s="22">
        <f>D70</f>
        <v>1481.7274</v>
      </c>
    </row>
    <row r="145" spans="1:4" x14ac:dyDescent="0.2">
      <c r="A145" s="30" t="s">
        <v>8</v>
      </c>
      <c r="B145" s="67" t="s">
        <v>45</v>
      </c>
      <c r="C145" s="67"/>
      <c r="D145" s="22">
        <f>D82</f>
        <v>114.21000000000001</v>
      </c>
    </row>
    <row r="146" spans="1:4" x14ac:dyDescent="0.2">
      <c r="A146" s="30" t="s">
        <v>10</v>
      </c>
      <c r="B146" s="67" t="s">
        <v>50</v>
      </c>
      <c r="C146" s="67"/>
      <c r="D146" s="22">
        <f>D112</f>
        <v>66.61</v>
      </c>
    </row>
    <row r="147" spans="1:4" x14ac:dyDescent="0.2">
      <c r="A147" s="30" t="s">
        <v>12</v>
      </c>
      <c r="B147" s="67" t="s">
        <v>55</v>
      </c>
      <c r="C147" s="67"/>
      <c r="D147" s="22">
        <f>D122</f>
        <v>21.44</v>
      </c>
    </row>
    <row r="148" spans="1:4" x14ac:dyDescent="0.2">
      <c r="A148" s="66" t="s">
        <v>94</v>
      </c>
      <c r="B148" s="66"/>
      <c r="C148" s="66"/>
      <c r="D148" s="23">
        <f>SUM(D143:D147)</f>
        <v>3538.6974</v>
      </c>
    </row>
    <row r="149" spans="1:4" x14ac:dyDescent="0.2">
      <c r="A149" s="30" t="s">
        <v>32</v>
      </c>
      <c r="B149" s="67" t="s">
        <v>70</v>
      </c>
      <c r="C149" s="67"/>
      <c r="D149" s="24">
        <f>D137</f>
        <v>772.81897241379306</v>
      </c>
    </row>
    <row r="150" spans="1:4" x14ac:dyDescent="0.2">
      <c r="A150" s="66" t="s">
        <v>71</v>
      </c>
      <c r="B150" s="66"/>
      <c r="C150" s="66"/>
      <c r="D150" s="23">
        <f>ROUND(SUM(D148:D149),2)</f>
        <v>4311.5200000000004</v>
      </c>
    </row>
  </sheetData>
  <mergeCells count="71">
    <mergeCell ref="B146:C146"/>
    <mergeCell ref="B147:C147"/>
    <mergeCell ref="A148:C148"/>
    <mergeCell ref="B149:C149"/>
    <mergeCell ref="A150:C150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C10:D10"/>
    <mergeCell ref="A1:D1"/>
    <mergeCell ref="A3:D3"/>
    <mergeCell ref="A5:B5"/>
    <mergeCell ref="A6:B6"/>
    <mergeCell ref="A8:D8"/>
  </mergeCells>
  <pageMargins left="0.51181102362204722" right="0.51181102362204722" top="1.102362204724409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topLeftCell="A46" zoomScaleNormal="115" zoomScaleSheetLayoutView="100" workbookViewId="0">
      <selection activeCell="E3" sqref="E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1" t="s">
        <v>0</v>
      </c>
      <c r="B1" s="81"/>
      <c r="C1" s="81"/>
      <c r="D1" s="81"/>
    </row>
    <row r="2" spans="1:4" ht="15.75" x14ac:dyDescent="0.25">
      <c r="A2" s="26"/>
      <c r="B2" s="26"/>
      <c r="C2" s="26"/>
      <c r="D2" s="26"/>
    </row>
    <row r="3" spans="1:4" x14ac:dyDescent="0.2">
      <c r="A3" s="71" t="s">
        <v>88</v>
      </c>
      <c r="B3" s="71"/>
      <c r="C3" s="71"/>
      <c r="D3" s="71"/>
    </row>
    <row r="4" spans="1:4" x14ac:dyDescent="0.2">
      <c r="A4" s="2"/>
      <c r="B4" s="2"/>
      <c r="C4" s="2"/>
      <c r="D4" s="2"/>
    </row>
    <row r="5" spans="1:4" ht="38.25" x14ac:dyDescent="0.2">
      <c r="A5" s="83" t="s">
        <v>89</v>
      </c>
      <c r="B5" s="83"/>
      <c r="C5" s="32" t="s">
        <v>90</v>
      </c>
      <c r="D5" s="27" t="s">
        <v>91</v>
      </c>
    </row>
    <row r="6" spans="1:4" x14ac:dyDescent="0.2">
      <c r="A6" s="63" t="s">
        <v>109</v>
      </c>
      <c r="B6" s="63"/>
      <c r="C6" s="33" t="s">
        <v>100</v>
      </c>
      <c r="D6" s="33">
        <v>1</v>
      </c>
    </row>
    <row r="8" spans="1:4" x14ac:dyDescent="0.2">
      <c r="A8" s="71" t="s">
        <v>72</v>
      </c>
      <c r="B8" s="71"/>
      <c r="C8" s="71"/>
      <c r="D8" s="71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64" t="s">
        <v>109</v>
      </c>
      <c r="D10" s="65"/>
    </row>
    <row r="11" spans="1:4" x14ac:dyDescent="0.2">
      <c r="A11" s="5">
        <v>2</v>
      </c>
      <c r="B11" s="5" t="s">
        <v>92</v>
      </c>
      <c r="C11" s="64" t="s">
        <v>110</v>
      </c>
      <c r="D11" s="65"/>
    </row>
    <row r="12" spans="1:4" x14ac:dyDescent="0.2">
      <c r="A12" s="5">
        <v>3</v>
      </c>
      <c r="B12" s="5" t="s">
        <v>74</v>
      </c>
      <c r="C12" s="68">
        <v>1963.81</v>
      </c>
      <c r="D12" s="69"/>
    </row>
    <row r="13" spans="1:4" x14ac:dyDescent="0.2">
      <c r="A13" s="5">
        <v>4</v>
      </c>
      <c r="B13" s="5" t="s">
        <v>75</v>
      </c>
      <c r="C13" s="64" t="s">
        <v>101</v>
      </c>
      <c r="D13" s="65"/>
    </row>
    <row r="14" spans="1:4" x14ac:dyDescent="0.2">
      <c r="A14" s="5">
        <v>5</v>
      </c>
      <c r="B14" s="5" t="s">
        <v>76</v>
      </c>
      <c r="C14" s="70">
        <v>45657</v>
      </c>
      <c r="D14" s="65"/>
    </row>
    <row r="16" spans="1:4" x14ac:dyDescent="0.2">
      <c r="A16" s="71" t="s">
        <v>1</v>
      </c>
      <c r="B16" s="71"/>
      <c r="C16" s="71"/>
      <c r="D16" s="71"/>
    </row>
    <row r="18" spans="1:4" x14ac:dyDescent="0.2">
      <c r="A18" s="30">
        <v>1</v>
      </c>
      <c r="B18" s="66" t="s">
        <v>2</v>
      </c>
      <c r="C18" s="66"/>
      <c r="D18" s="30" t="s">
        <v>3</v>
      </c>
    </row>
    <row r="19" spans="1:4" x14ac:dyDescent="0.2">
      <c r="A19" s="32" t="s">
        <v>4</v>
      </c>
      <c r="B19" s="67" t="s">
        <v>5</v>
      </c>
      <c r="C19" s="67"/>
      <c r="D19" s="13">
        <v>1963.81</v>
      </c>
    </row>
    <row r="20" spans="1:4" x14ac:dyDescent="0.2">
      <c r="A20" s="32" t="s">
        <v>6</v>
      </c>
      <c r="B20" s="67" t="s">
        <v>7</v>
      </c>
      <c r="C20" s="67"/>
      <c r="D20" s="13"/>
    </row>
    <row r="21" spans="1:4" x14ac:dyDescent="0.2">
      <c r="A21" s="32" t="s">
        <v>8</v>
      </c>
      <c r="B21" s="67" t="s">
        <v>9</v>
      </c>
      <c r="C21" s="67"/>
      <c r="D21" s="13"/>
    </row>
    <row r="22" spans="1:4" x14ac:dyDescent="0.2">
      <c r="A22" s="32" t="s">
        <v>10</v>
      </c>
      <c r="B22" s="67" t="s">
        <v>11</v>
      </c>
      <c r="C22" s="67"/>
      <c r="D22" s="13"/>
    </row>
    <row r="23" spans="1:4" x14ac:dyDescent="0.2">
      <c r="A23" s="32" t="s">
        <v>12</v>
      </c>
      <c r="B23" s="67" t="s">
        <v>13</v>
      </c>
      <c r="C23" s="67"/>
      <c r="D23" s="13"/>
    </row>
    <row r="24" spans="1:4" x14ac:dyDescent="0.2">
      <c r="A24" s="32"/>
      <c r="B24" s="67"/>
      <c r="C24" s="67"/>
      <c r="D24" s="13"/>
    </row>
    <row r="25" spans="1:4" x14ac:dyDescent="0.2">
      <c r="A25" s="32" t="s">
        <v>14</v>
      </c>
      <c r="B25" s="67" t="s">
        <v>15</v>
      </c>
      <c r="C25" s="67"/>
      <c r="D25" s="13"/>
    </row>
    <row r="26" spans="1:4" x14ac:dyDescent="0.2">
      <c r="A26" s="66" t="s">
        <v>16</v>
      </c>
      <c r="B26" s="66"/>
      <c r="C26" s="66"/>
      <c r="D26" s="20">
        <f>SUM(D19:D25)</f>
        <v>1963.81</v>
      </c>
    </row>
    <row r="29" spans="1:4" x14ac:dyDescent="0.2">
      <c r="A29" s="72" t="s">
        <v>17</v>
      </c>
      <c r="B29" s="72"/>
      <c r="C29" s="72"/>
      <c r="D29" s="72"/>
    </row>
    <row r="30" spans="1:4" x14ac:dyDescent="0.2">
      <c r="A30" s="3"/>
    </row>
    <row r="31" spans="1:4" x14ac:dyDescent="0.2">
      <c r="A31" s="79" t="s">
        <v>18</v>
      </c>
      <c r="B31" s="79"/>
      <c r="C31" s="79"/>
      <c r="D31" s="79"/>
    </row>
    <row r="33" spans="1:4" x14ac:dyDescent="0.2">
      <c r="A33" s="30" t="s">
        <v>19</v>
      </c>
      <c r="B33" s="66" t="s">
        <v>20</v>
      </c>
      <c r="C33" s="66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163.58000000000001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218.17</v>
      </c>
    </row>
    <row r="36" spans="1:4" x14ac:dyDescent="0.2">
      <c r="A36" s="66" t="s">
        <v>16</v>
      </c>
      <c r="B36" s="66"/>
      <c r="C36" s="28">
        <f>SUM(C34:C35)</f>
        <v>0.19440000000000002</v>
      </c>
      <c r="D36" s="19">
        <f>SUM(D34:D35)</f>
        <v>381.75</v>
      </c>
    </row>
    <row r="39" spans="1:4" x14ac:dyDescent="0.2">
      <c r="A39" s="82" t="s">
        <v>23</v>
      </c>
      <c r="B39" s="82"/>
      <c r="C39" s="82"/>
      <c r="D39" s="82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469.11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58.63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70.36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35.18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23.45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14.07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4.6900000000000004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187.64</v>
      </c>
    </row>
    <row r="50" spans="1:4" x14ac:dyDescent="0.2">
      <c r="A50" s="66" t="s">
        <v>37</v>
      </c>
      <c r="B50" s="66"/>
      <c r="C50" s="15">
        <f>SUM(C42:C49)</f>
        <v>0.36800000000000005</v>
      </c>
      <c r="D50" s="19">
        <f>SUM(D42:D49)</f>
        <v>863.13000000000011</v>
      </c>
    </row>
    <row r="53" spans="1:4" x14ac:dyDescent="0.2">
      <c r="A53" s="79" t="s">
        <v>38</v>
      </c>
      <c r="B53" s="79"/>
      <c r="C53" s="79"/>
      <c r="D53" s="79"/>
    </row>
    <row r="55" spans="1:4" x14ac:dyDescent="0.2">
      <c r="A55" s="30" t="s">
        <v>39</v>
      </c>
      <c r="B55" s="78" t="s">
        <v>40</v>
      </c>
      <c r="C55" s="78"/>
      <c r="D55" s="30" t="s">
        <v>3</v>
      </c>
    </row>
    <row r="56" spans="1:4" x14ac:dyDescent="0.2">
      <c r="A56" s="32" t="s">
        <v>4</v>
      </c>
      <c r="B56" s="67" t="s">
        <v>41</v>
      </c>
      <c r="C56" s="67"/>
      <c r="D56" s="13">
        <f>IF((22*2*5.2)-(D19*0.06)&gt;0,(22*2*5.2)-(D19*0.06),0)</f>
        <v>110.97140000000002</v>
      </c>
    </row>
    <row r="57" spans="1:4" x14ac:dyDescent="0.2">
      <c r="A57" s="32" t="s">
        <v>6</v>
      </c>
      <c r="B57" s="67" t="s">
        <v>42</v>
      </c>
      <c r="C57" s="67"/>
      <c r="D57" s="13">
        <f>17*0.8*22</f>
        <v>299.20000000000005</v>
      </c>
    </row>
    <row r="58" spans="1:4" x14ac:dyDescent="0.2">
      <c r="A58" s="32" t="s">
        <v>8</v>
      </c>
      <c r="B58" s="67" t="s">
        <v>103</v>
      </c>
      <c r="C58" s="67"/>
      <c r="D58" s="13">
        <v>170</v>
      </c>
    </row>
    <row r="59" spans="1:4" x14ac:dyDescent="0.2">
      <c r="A59" s="32" t="s">
        <v>10</v>
      </c>
      <c r="B59" s="67" t="s">
        <v>104</v>
      </c>
      <c r="C59" s="67"/>
      <c r="D59" s="13">
        <v>14</v>
      </c>
    </row>
    <row r="60" spans="1:4" x14ac:dyDescent="0.2">
      <c r="A60" s="32" t="s">
        <v>10</v>
      </c>
      <c r="B60" s="67" t="s">
        <v>105</v>
      </c>
      <c r="C60" s="67"/>
      <c r="D60" s="13">
        <v>4.4800000000000004</v>
      </c>
    </row>
    <row r="61" spans="1:4" x14ac:dyDescent="0.2">
      <c r="A61" s="66" t="s">
        <v>16</v>
      </c>
      <c r="B61" s="66"/>
      <c r="C61" s="66"/>
      <c r="D61" s="19">
        <f>SUM(D56:D60)</f>
        <v>598.65140000000008</v>
      </c>
    </row>
    <row r="64" spans="1:4" x14ac:dyDescent="0.2">
      <c r="A64" s="79" t="s">
        <v>43</v>
      </c>
      <c r="B64" s="79"/>
      <c r="C64" s="79"/>
      <c r="D64" s="79"/>
    </row>
    <row r="66" spans="1:5" x14ac:dyDescent="0.2">
      <c r="A66" s="30">
        <v>2</v>
      </c>
      <c r="B66" s="78" t="s">
        <v>44</v>
      </c>
      <c r="C66" s="78"/>
      <c r="D66" s="30" t="s">
        <v>3</v>
      </c>
    </row>
    <row r="67" spans="1:5" x14ac:dyDescent="0.2">
      <c r="A67" s="32" t="s">
        <v>19</v>
      </c>
      <c r="B67" s="67" t="s">
        <v>20</v>
      </c>
      <c r="C67" s="67"/>
      <c r="D67" s="14">
        <f>D36</f>
        <v>381.75</v>
      </c>
    </row>
    <row r="68" spans="1:5" x14ac:dyDescent="0.2">
      <c r="A68" s="32" t="s">
        <v>24</v>
      </c>
      <c r="B68" s="67" t="s">
        <v>25</v>
      </c>
      <c r="C68" s="67"/>
      <c r="D68" s="14">
        <f>D50</f>
        <v>863.13000000000011</v>
      </c>
    </row>
    <row r="69" spans="1:5" x14ac:dyDescent="0.2">
      <c r="A69" s="32" t="s">
        <v>39</v>
      </c>
      <c r="B69" s="67" t="s">
        <v>40</v>
      </c>
      <c r="C69" s="67"/>
      <c r="D69" s="14">
        <f>D61</f>
        <v>598.65140000000008</v>
      </c>
    </row>
    <row r="70" spans="1:5" x14ac:dyDescent="0.2">
      <c r="A70" s="66" t="s">
        <v>16</v>
      </c>
      <c r="B70" s="66"/>
      <c r="C70" s="66"/>
      <c r="D70" s="19">
        <f>SUM(D67:D69)</f>
        <v>1843.5314000000003</v>
      </c>
    </row>
    <row r="71" spans="1:5" x14ac:dyDescent="0.2">
      <c r="A71" s="4"/>
      <c r="E71" s="18"/>
    </row>
    <row r="73" spans="1:5" x14ac:dyDescent="0.2">
      <c r="A73" s="72" t="s">
        <v>45</v>
      </c>
      <c r="B73" s="72"/>
      <c r="C73" s="72"/>
      <c r="D73" s="72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8" t="s">
        <v>46</v>
      </c>
      <c r="C75" s="78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TRUNC(((1/12)*5%),4)</f>
        <v>4.1000000000000003E-3</v>
      </c>
      <c r="D76" s="13">
        <f>TRUNC($D$26*C76,2)</f>
        <v>8.0500000000000007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0.64</v>
      </c>
    </row>
    <row r="78" spans="1:5" x14ac:dyDescent="0.2">
      <c r="A78" s="32" t="s">
        <v>8</v>
      </c>
      <c r="B78" s="10" t="s">
        <v>98</v>
      </c>
      <c r="C78" s="9">
        <f>TRUNC(8%*5%*40%,4)</f>
        <v>1.6000000000000001E-3</v>
      </c>
      <c r="D78" s="13">
        <f>TRUNC($D$26*C78,2)</f>
        <v>3.14</v>
      </c>
    </row>
    <row r="79" spans="1:5" x14ac:dyDescent="0.2">
      <c r="A79" s="32" t="s">
        <v>10</v>
      </c>
      <c r="B79" s="10" t="s">
        <v>49</v>
      </c>
      <c r="C79" s="9">
        <f>TRUNC(((7/30)/12)*95%,4)</f>
        <v>1.84E-2</v>
      </c>
      <c r="D79" s="13">
        <f>TRUNC($D$26*C79,2)</f>
        <v>36.130000000000003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13.29</v>
      </c>
    </row>
    <row r="81" spans="1:4" x14ac:dyDescent="0.2">
      <c r="A81" s="32" t="s">
        <v>32</v>
      </c>
      <c r="B81" s="10" t="s">
        <v>99</v>
      </c>
      <c r="C81" s="9">
        <f>TRUNC(8%*95%*40%,4)</f>
        <v>3.04E-2</v>
      </c>
      <c r="D81" s="13">
        <f t="shared" ref="D81" si="1">TRUNC($D$26*C81,2)</f>
        <v>59.69</v>
      </c>
    </row>
    <row r="82" spans="1:4" x14ac:dyDescent="0.2">
      <c r="A82" s="76" t="s">
        <v>16</v>
      </c>
      <c r="B82" s="77"/>
      <c r="C82" s="80"/>
      <c r="D82" s="19">
        <f>SUM(D76:D81)</f>
        <v>120.94</v>
      </c>
    </row>
    <row r="85" spans="1:4" x14ac:dyDescent="0.2">
      <c r="A85" s="72" t="s">
        <v>50</v>
      </c>
      <c r="B85" s="72"/>
      <c r="C85" s="72"/>
      <c r="D85" s="72"/>
    </row>
    <row r="88" spans="1:4" x14ac:dyDescent="0.2">
      <c r="A88" s="79" t="s">
        <v>77</v>
      </c>
      <c r="B88" s="79"/>
      <c r="C88" s="79"/>
      <c r="D88" s="79"/>
    </row>
    <row r="89" spans="1:4" x14ac:dyDescent="0.2">
      <c r="A89" s="3"/>
    </row>
    <row r="90" spans="1:4" x14ac:dyDescent="0.2">
      <c r="A90" s="30" t="s">
        <v>51</v>
      </c>
      <c r="B90" s="78" t="s">
        <v>78</v>
      </c>
      <c r="C90" s="78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</f>
        <v>9.1999999999999998E-3</v>
      </c>
      <c r="D91" s="13">
        <f>TRUNC(($D$26+$D$70+$D$82)*C91,2)</f>
        <v>36.14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21.6</v>
      </c>
    </row>
    <row r="93" spans="1:4" x14ac:dyDescent="0.2">
      <c r="A93" s="32" t="s">
        <v>8</v>
      </c>
      <c r="B93" s="29" t="s">
        <v>81</v>
      </c>
      <c r="C93" s="9">
        <f>TRUNC(((5/30)/12)*2%,4)</f>
        <v>2.0000000000000001E-4</v>
      </c>
      <c r="D93" s="13">
        <f t="shared" si="2"/>
        <v>0.78</v>
      </c>
    </row>
    <row r="94" spans="1:4" x14ac:dyDescent="0.2">
      <c r="A94" s="32" t="s">
        <v>10</v>
      </c>
      <c r="B94" s="29" t="s">
        <v>82</v>
      </c>
      <c r="C94" s="9">
        <f>TRUNC(((15/30)/12)*8%,4)</f>
        <v>3.3E-3</v>
      </c>
      <c r="D94" s="13">
        <f t="shared" si="2"/>
        <v>12.96</v>
      </c>
    </row>
    <row r="95" spans="1:4" x14ac:dyDescent="0.2">
      <c r="A95" s="32" t="s">
        <v>12</v>
      </c>
      <c r="B95" s="29" t="s">
        <v>83</v>
      </c>
      <c r="C95" s="9">
        <f>((1+1/3)/12)*3%*(4/12)</f>
        <v>1.1111111111111109E-3</v>
      </c>
      <c r="D95" s="13">
        <f t="shared" si="2"/>
        <v>4.3600000000000003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66" t="s">
        <v>37</v>
      </c>
      <c r="B97" s="66"/>
      <c r="C97" s="66"/>
      <c r="D97" s="19">
        <f>SUM(D91:D96)</f>
        <v>75.84</v>
      </c>
      <c r="E97" s="17"/>
      <c r="F97" s="17"/>
    </row>
    <row r="100" spans="1:6" x14ac:dyDescent="0.2">
      <c r="A100" s="79" t="s">
        <v>85</v>
      </c>
      <c r="B100" s="79"/>
      <c r="C100" s="79"/>
      <c r="D100" s="79"/>
    </row>
    <row r="101" spans="1:6" x14ac:dyDescent="0.2">
      <c r="A101" s="3"/>
    </row>
    <row r="102" spans="1:6" x14ac:dyDescent="0.2">
      <c r="A102" s="30" t="s">
        <v>52</v>
      </c>
      <c r="B102" s="78" t="s">
        <v>86</v>
      </c>
      <c r="C102" s="78"/>
      <c r="D102" s="30" t="s">
        <v>3</v>
      </c>
    </row>
    <row r="103" spans="1:6" x14ac:dyDescent="0.2">
      <c r="A103" s="32" t="s">
        <v>4</v>
      </c>
      <c r="B103" s="73" t="s">
        <v>87</v>
      </c>
      <c r="C103" s="74"/>
      <c r="D103" s="13">
        <f>((D26+D70+D82)/220)*22*0</f>
        <v>0</v>
      </c>
    </row>
    <row r="104" spans="1:6" x14ac:dyDescent="0.2">
      <c r="A104" s="66" t="s">
        <v>16</v>
      </c>
      <c r="B104" s="66"/>
      <c r="C104" s="66"/>
      <c r="D104" s="19">
        <f>SUM(D103)</f>
        <v>0</v>
      </c>
    </row>
    <row r="107" spans="1:6" x14ac:dyDescent="0.2">
      <c r="A107" s="79" t="s">
        <v>53</v>
      </c>
      <c r="B107" s="79"/>
      <c r="C107" s="79"/>
      <c r="D107" s="79"/>
    </row>
    <row r="108" spans="1:6" x14ac:dyDescent="0.2">
      <c r="A108" s="3"/>
    </row>
    <row r="109" spans="1:6" x14ac:dyDescent="0.2">
      <c r="A109" s="30">
        <v>4</v>
      </c>
      <c r="B109" s="66" t="s">
        <v>54</v>
      </c>
      <c r="C109" s="66"/>
      <c r="D109" s="30" t="s">
        <v>3</v>
      </c>
    </row>
    <row r="110" spans="1:6" x14ac:dyDescent="0.2">
      <c r="A110" s="32" t="s">
        <v>51</v>
      </c>
      <c r="B110" s="67" t="s">
        <v>78</v>
      </c>
      <c r="C110" s="67"/>
      <c r="D110" s="14">
        <f>D97</f>
        <v>75.84</v>
      </c>
    </row>
    <row r="111" spans="1:6" x14ac:dyDescent="0.2">
      <c r="A111" s="32" t="s">
        <v>52</v>
      </c>
      <c r="B111" s="67" t="s">
        <v>86</v>
      </c>
      <c r="C111" s="67"/>
      <c r="D111" s="14">
        <f>D104</f>
        <v>0</v>
      </c>
    </row>
    <row r="112" spans="1:6" x14ac:dyDescent="0.2">
      <c r="A112" s="66" t="s">
        <v>16</v>
      </c>
      <c r="B112" s="66"/>
      <c r="C112" s="66"/>
      <c r="D112" s="19">
        <f>SUM(D110:D111)</f>
        <v>75.84</v>
      </c>
    </row>
    <row r="115" spans="1:4" x14ac:dyDescent="0.2">
      <c r="A115" s="72" t="s">
        <v>55</v>
      </c>
      <c r="B115" s="72"/>
      <c r="C115" s="72"/>
      <c r="D115" s="72"/>
    </row>
    <row r="117" spans="1:4" x14ac:dyDescent="0.2">
      <c r="A117" s="30">
        <v>5</v>
      </c>
      <c r="B117" s="75" t="s">
        <v>56</v>
      </c>
      <c r="C117" s="75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v>21.44</v>
      </c>
    </row>
    <row r="119" spans="1:4" x14ac:dyDescent="0.2">
      <c r="A119" s="32" t="s">
        <v>6</v>
      </c>
      <c r="B119" s="29" t="s">
        <v>58</v>
      </c>
      <c r="C119" s="29"/>
      <c r="D119" s="13"/>
    </row>
    <row r="120" spans="1:4" x14ac:dyDescent="0.2">
      <c r="A120" s="32" t="s">
        <v>8</v>
      </c>
      <c r="B120" s="29" t="s">
        <v>59</v>
      </c>
      <c r="C120" s="29"/>
      <c r="D120" s="13"/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66" t="s">
        <v>37</v>
      </c>
      <c r="B122" s="66"/>
      <c r="C122" s="66"/>
      <c r="D122" s="20">
        <f>SUM(D118:D121)</f>
        <v>21.44</v>
      </c>
    </row>
    <row r="125" spans="1:4" x14ac:dyDescent="0.2">
      <c r="A125" s="72" t="s">
        <v>60</v>
      </c>
      <c r="B125" s="72"/>
      <c r="C125" s="72"/>
      <c r="D125" s="72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0.05</v>
      </c>
      <c r="D128" s="14">
        <f>D148*C128</f>
        <v>201.27807000000004</v>
      </c>
    </row>
    <row r="129" spans="1:4" x14ac:dyDescent="0.2">
      <c r="A129" s="32" t="s">
        <v>6</v>
      </c>
      <c r="B129" s="29" t="s">
        <v>63</v>
      </c>
      <c r="C129" s="9">
        <v>0.06</v>
      </c>
      <c r="D129" s="13">
        <f>(D148+D128)*C129</f>
        <v>253.61036820000004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424.25715490344834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31.880614999999999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147.1413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245.2355</v>
      </c>
    </row>
    <row r="137" spans="1:4" ht="13.5" x14ac:dyDescent="0.2">
      <c r="A137" s="76" t="s">
        <v>37</v>
      </c>
      <c r="B137" s="77"/>
      <c r="C137" s="21">
        <f>(1+C129)*(1+C128)/(1-C130)-1</f>
        <v>0.21839080459770144</v>
      </c>
      <c r="D137" s="19">
        <f>SUM(D128:D130)</f>
        <v>879.14559310344839</v>
      </c>
    </row>
    <row r="140" spans="1:4" x14ac:dyDescent="0.2">
      <c r="A140" s="72" t="s">
        <v>68</v>
      </c>
      <c r="B140" s="72"/>
      <c r="C140" s="72"/>
      <c r="D140" s="72"/>
    </row>
    <row r="142" spans="1:4" x14ac:dyDescent="0.2">
      <c r="A142" s="30"/>
      <c r="B142" s="66" t="s">
        <v>69</v>
      </c>
      <c r="C142" s="66"/>
      <c r="D142" s="30" t="s">
        <v>3</v>
      </c>
    </row>
    <row r="143" spans="1:4" x14ac:dyDescent="0.2">
      <c r="A143" s="30" t="s">
        <v>4</v>
      </c>
      <c r="B143" s="67" t="s">
        <v>1</v>
      </c>
      <c r="C143" s="67"/>
      <c r="D143" s="22">
        <f>D26</f>
        <v>1963.81</v>
      </c>
    </row>
    <row r="144" spans="1:4" x14ac:dyDescent="0.2">
      <c r="A144" s="30" t="s">
        <v>6</v>
      </c>
      <c r="B144" s="67" t="s">
        <v>17</v>
      </c>
      <c r="C144" s="67"/>
      <c r="D144" s="22">
        <f>D70</f>
        <v>1843.5314000000003</v>
      </c>
    </row>
    <row r="145" spans="1:4" x14ac:dyDescent="0.2">
      <c r="A145" s="30" t="s">
        <v>8</v>
      </c>
      <c r="B145" s="67" t="s">
        <v>45</v>
      </c>
      <c r="C145" s="67"/>
      <c r="D145" s="22">
        <f>D82</f>
        <v>120.94</v>
      </c>
    </row>
    <row r="146" spans="1:4" x14ac:dyDescent="0.2">
      <c r="A146" s="30" t="s">
        <v>10</v>
      </c>
      <c r="B146" s="67" t="s">
        <v>50</v>
      </c>
      <c r="C146" s="67"/>
      <c r="D146" s="22">
        <f>D112</f>
        <v>75.84</v>
      </c>
    </row>
    <row r="147" spans="1:4" x14ac:dyDescent="0.2">
      <c r="A147" s="30" t="s">
        <v>12</v>
      </c>
      <c r="B147" s="67" t="s">
        <v>55</v>
      </c>
      <c r="C147" s="67"/>
      <c r="D147" s="22">
        <f>D122</f>
        <v>21.44</v>
      </c>
    </row>
    <row r="148" spans="1:4" x14ac:dyDescent="0.2">
      <c r="A148" s="66" t="s">
        <v>94</v>
      </c>
      <c r="B148" s="66"/>
      <c r="C148" s="66"/>
      <c r="D148" s="23">
        <f>SUM(D143:D147)</f>
        <v>4025.5614000000005</v>
      </c>
    </row>
    <row r="149" spans="1:4" x14ac:dyDescent="0.2">
      <c r="A149" s="30" t="s">
        <v>32</v>
      </c>
      <c r="B149" s="67" t="s">
        <v>70</v>
      </c>
      <c r="C149" s="67"/>
      <c r="D149" s="24">
        <f>D137</f>
        <v>879.14559310344839</v>
      </c>
    </row>
    <row r="150" spans="1:4" x14ac:dyDescent="0.2">
      <c r="A150" s="66" t="s">
        <v>71</v>
      </c>
      <c r="B150" s="66"/>
      <c r="C150" s="66"/>
      <c r="D150" s="23">
        <f>ROUND(SUM(D148:D149),2)</f>
        <v>4904.71</v>
      </c>
    </row>
  </sheetData>
  <mergeCells count="71">
    <mergeCell ref="B146:C146"/>
    <mergeCell ref="B147:C147"/>
    <mergeCell ref="A148:C148"/>
    <mergeCell ref="B149:C149"/>
    <mergeCell ref="A150:C150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C10:D10"/>
    <mergeCell ref="A1:D1"/>
    <mergeCell ref="A3:D3"/>
    <mergeCell ref="A5:B5"/>
    <mergeCell ref="A6:B6"/>
    <mergeCell ref="A8:D8"/>
  </mergeCells>
  <pageMargins left="0.51181102362204722" right="0.51181102362204722" top="1.102362204724409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topLeftCell="A28" zoomScaleNormal="115" zoomScaleSheetLayoutView="100" workbookViewId="0">
      <selection activeCell="E3" sqref="E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1" t="s">
        <v>0</v>
      </c>
      <c r="B1" s="81"/>
      <c r="C1" s="81"/>
      <c r="D1" s="81"/>
    </row>
    <row r="2" spans="1:4" ht="15.75" x14ac:dyDescent="0.25">
      <c r="A2" s="26"/>
      <c r="B2" s="26"/>
      <c r="C2" s="26"/>
      <c r="D2" s="26"/>
    </row>
    <row r="3" spans="1:4" x14ac:dyDescent="0.2">
      <c r="A3" s="71" t="s">
        <v>88</v>
      </c>
      <c r="B3" s="71"/>
      <c r="C3" s="71"/>
      <c r="D3" s="71"/>
    </row>
    <row r="4" spans="1:4" x14ac:dyDescent="0.2">
      <c r="A4" s="2"/>
      <c r="B4" s="2"/>
      <c r="C4" s="2"/>
      <c r="D4" s="2"/>
    </row>
    <row r="5" spans="1:4" ht="38.25" x14ac:dyDescent="0.2">
      <c r="A5" s="83" t="s">
        <v>89</v>
      </c>
      <c r="B5" s="83"/>
      <c r="C5" s="32" t="s">
        <v>90</v>
      </c>
      <c r="D5" s="27" t="s">
        <v>91</v>
      </c>
    </row>
    <row r="6" spans="1:4" x14ac:dyDescent="0.2">
      <c r="A6" s="63" t="s">
        <v>111</v>
      </c>
      <c r="B6" s="63"/>
      <c r="C6" s="33" t="s">
        <v>100</v>
      </c>
      <c r="D6" s="33">
        <v>2</v>
      </c>
    </row>
    <row r="8" spans="1:4" x14ac:dyDescent="0.2">
      <c r="A8" s="71" t="s">
        <v>72</v>
      </c>
      <c r="B8" s="71"/>
      <c r="C8" s="71"/>
      <c r="D8" s="71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64" t="s">
        <v>111</v>
      </c>
      <c r="D10" s="65"/>
    </row>
    <row r="11" spans="1:4" x14ac:dyDescent="0.2">
      <c r="A11" s="5">
        <v>2</v>
      </c>
      <c r="B11" s="5" t="s">
        <v>92</v>
      </c>
      <c r="C11" s="64" t="s">
        <v>112</v>
      </c>
      <c r="D11" s="65"/>
    </row>
    <row r="12" spans="1:4" x14ac:dyDescent="0.2">
      <c r="A12" s="5">
        <v>3</v>
      </c>
      <c r="B12" s="5" t="s">
        <v>74</v>
      </c>
      <c r="C12" s="68">
        <v>1676.83</v>
      </c>
      <c r="D12" s="69"/>
    </row>
    <row r="13" spans="1:4" x14ac:dyDescent="0.2">
      <c r="A13" s="5">
        <v>4</v>
      </c>
      <c r="B13" s="5" t="s">
        <v>75</v>
      </c>
      <c r="C13" s="64" t="s">
        <v>101</v>
      </c>
      <c r="D13" s="65"/>
    </row>
    <row r="14" spans="1:4" x14ac:dyDescent="0.2">
      <c r="A14" s="5">
        <v>5</v>
      </c>
      <c r="B14" s="5" t="s">
        <v>76</v>
      </c>
      <c r="C14" s="70">
        <v>45657</v>
      </c>
      <c r="D14" s="65"/>
    </row>
    <row r="16" spans="1:4" x14ac:dyDescent="0.2">
      <c r="A16" s="71" t="s">
        <v>1</v>
      </c>
      <c r="B16" s="71"/>
      <c r="C16" s="71"/>
      <c r="D16" s="71"/>
    </row>
    <row r="18" spans="1:4" x14ac:dyDescent="0.2">
      <c r="A18" s="30">
        <v>1</v>
      </c>
      <c r="B18" s="66" t="s">
        <v>2</v>
      </c>
      <c r="C18" s="66"/>
      <c r="D18" s="30" t="s">
        <v>3</v>
      </c>
    </row>
    <row r="19" spans="1:4" x14ac:dyDescent="0.2">
      <c r="A19" s="32" t="s">
        <v>4</v>
      </c>
      <c r="B19" s="67" t="s">
        <v>5</v>
      </c>
      <c r="C19" s="67"/>
      <c r="D19" s="13">
        <v>1676.83</v>
      </c>
    </row>
    <row r="20" spans="1:4" x14ac:dyDescent="0.2">
      <c r="A20" s="32" t="s">
        <v>6</v>
      </c>
      <c r="B20" s="67" t="s">
        <v>7</v>
      </c>
      <c r="C20" s="67"/>
      <c r="D20" s="13"/>
    </row>
    <row r="21" spans="1:4" x14ac:dyDescent="0.2">
      <c r="A21" s="32" t="s">
        <v>8</v>
      </c>
      <c r="B21" s="67" t="s">
        <v>9</v>
      </c>
      <c r="C21" s="67"/>
      <c r="D21" s="13"/>
    </row>
    <row r="22" spans="1:4" x14ac:dyDescent="0.2">
      <c r="A22" s="32" t="s">
        <v>10</v>
      </c>
      <c r="B22" s="67" t="s">
        <v>11</v>
      </c>
      <c r="C22" s="67"/>
      <c r="D22" s="13"/>
    </row>
    <row r="23" spans="1:4" x14ac:dyDescent="0.2">
      <c r="A23" s="32" t="s">
        <v>12</v>
      </c>
      <c r="B23" s="67" t="s">
        <v>13</v>
      </c>
      <c r="C23" s="67"/>
      <c r="D23" s="13"/>
    </row>
    <row r="24" spans="1:4" x14ac:dyDescent="0.2">
      <c r="A24" s="32"/>
      <c r="B24" s="67"/>
      <c r="C24" s="67"/>
      <c r="D24" s="13"/>
    </row>
    <row r="25" spans="1:4" x14ac:dyDescent="0.2">
      <c r="A25" s="32" t="s">
        <v>14</v>
      </c>
      <c r="B25" s="67" t="s">
        <v>15</v>
      </c>
      <c r="C25" s="67"/>
      <c r="D25" s="13"/>
    </row>
    <row r="26" spans="1:4" x14ac:dyDescent="0.2">
      <c r="A26" s="66" t="s">
        <v>16</v>
      </c>
      <c r="B26" s="66"/>
      <c r="C26" s="66"/>
      <c r="D26" s="20">
        <f>SUM(D19:D25)</f>
        <v>1676.83</v>
      </c>
    </row>
    <row r="29" spans="1:4" x14ac:dyDescent="0.2">
      <c r="A29" s="72" t="s">
        <v>17</v>
      </c>
      <c r="B29" s="72"/>
      <c r="C29" s="72"/>
      <c r="D29" s="72"/>
    </row>
    <row r="30" spans="1:4" x14ac:dyDescent="0.2">
      <c r="A30" s="3"/>
    </row>
    <row r="31" spans="1:4" x14ac:dyDescent="0.2">
      <c r="A31" s="79" t="s">
        <v>18</v>
      </c>
      <c r="B31" s="79"/>
      <c r="C31" s="79"/>
      <c r="D31" s="79"/>
    </row>
    <row r="33" spans="1:4" x14ac:dyDescent="0.2">
      <c r="A33" s="30" t="s">
        <v>19</v>
      </c>
      <c r="B33" s="66" t="s">
        <v>20</v>
      </c>
      <c r="C33" s="66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139.66999999999999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186.29</v>
      </c>
    </row>
    <row r="36" spans="1:4" x14ac:dyDescent="0.2">
      <c r="A36" s="66" t="s">
        <v>16</v>
      </c>
      <c r="B36" s="66"/>
      <c r="C36" s="28">
        <f>SUM(C34:C35)</f>
        <v>0.19440000000000002</v>
      </c>
      <c r="D36" s="19">
        <f>SUM(D34:D35)</f>
        <v>325.95999999999998</v>
      </c>
    </row>
    <row r="39" spans="1:4" x14ac:dyDescent="0.2">
      <c r="A39" s="82" t="s">
        <v>23</v>
      </c>
      <c r="B39" s="82"/>
      <c r="C39" s="82"/>
      <c r="D39" s="82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400.55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50.06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60.08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30.04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20.02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12.01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4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160.22</v>
      </c>
    </row>
    <row r="50" spans="1:4" x14ac:dyDescent="0.2">
      <c r="A50" s="66" t="s">
        <v>37</v>
      </c>
      <c r="B50" s="66"/>
      <c r="C50" s="15">
        <f>SUM(C42:C49)</f>
        <v>0.36800000000000005</v>
      </c>
      <c r="D50" s="19">
        <f>SUM(D42:D49)</f>
        <v>736.98</v>
      </c>
    </row>
    <row r="53" spans="1:4" x14ac:dyDescent="0.2">
      <c r="A53" s="79" t="s">
        <v>38</v>
      </c>
      <c r="B53" s="79"/>
      <c r="C53" s="79"/>
      <c r="D53" s="79"/>
    </row>
    <row r="55" spans="1:4" x14ac:dyDescent="0.2">
      <c r="A55" s="30" t="s">
        <v>39</v>
      </c>
      <c r="B55" s="78" t="s">
        <v>40</v>
      </c>
      <c r="C55" s="78"/>
      <c r="D55" s="30" t="s">
        <v>3</v>
      </c>
    </row>
    <row r="56" spans="1:4" x14ac:dyDescent="0.2">
      <c r="A56" s="32" t="s">
        <v>4</v>
      </c>
      <c r="B56" s="67" t="s">
        <v>41</v>
      </c>
      <c r="C56" s="67"/>
      <c r="D56" s="13">
        <f>IF((22*2*5.2)-(D19*0.06)&gt;0,(22*2*5.2)-(D19*0.06),0)</f>
        <v>128.1902</v>
      </c>
    </row>
    <row r="57" spans="1:4" x14ac:dyDescent="0.2">
      <c r="A57" s="32" t="s">
        <v>6</v>
      </c>
      <c r="B57" s="67" t="s">
        <v>42</v>
      </c>
      <c r="C57" s="67"/>
      <c r="D57" s="13">
        <f>17*0.8*22</f>
        <v>299.20000000000005</v>
      </c>
    </row>
    <row r="58" spans="1:4" x14ac:dyDescent="0.2">
      <c r="A58" s="32" t="s">
        <v>8</v>
      </c>
      <c r="B58" s="67" t="s">
        <v>103</v>
      </c>
      <c r="C58" s="67"/>
      <c r="D58" s="13">
        <v>170</v>
      </c>
    </row>
    <row r="59" spans="1:4" x14ac:dyDescent="0.2">
      <c r="A59" s="32" t="s">
        <v>10</v>
      </c>
      <c r="B59" s="67" t="s">
        <v>104</v>
      </c>
      <c r="C59" s="67"/>
      <c r="D59" s="13">
        <v>14</v>
      </c>
    </row>
    <row r="60" spans="1:4" x14ac:dyDescent="0.2">
      <c r="A60" s="32" t="s">
        <v>10</v>
      </c>
      <c r="B60" s="67" t="s">
        <v>105</v>
      </c>
      <c r="C60" s="67"/>
      <c r="D60" s="13">
        <v>4.4800000000000004</v>
      </c>
    </row>
    <row r="61" spans="1:4" x14ac:dyDescent="0.2">
      <c r="A61" s="66" t="s">
        <v>16</v>
      </c>
      <c r="B61" s="66"/>
      <c r="C61" s="66"/>
      <c r="D61" s="19">
        <f>SUM(D56:D60)</f>
        <v>615.87020000000007</v>
      </c>
    </row>
    <row r="64" spans="1:4" x14ac:dyDescent="0.2">
      <c r="A64" s="79" t="s">
        <v>43</v>
      </c>
      <c r="B64" s="79"/>
      <c r="C64" s="79"/>
      <c r="D64" s="79"/>
    </row>
    <row r="66" spans="1:5" x14ac:dyDescent="0.2">
      <c r="A66" s="30">
        <v>2</v>
      </c>
      <c r="B66" s="78" t="s">
        <v>44</v>
      </c>
      <c r="C66" s="78"/>
      <c r="D66" s="30" t="s">
        <v>3</v>
      </c>
    </row>
    <row r="67" spans="1:5" x14ac:dyDescent="0.2">
      <c r="A67" s="32" t="s">
        <v>19</v>
      </c>
      <c r="B67" s="67" t="s">
        <v>20</v>
      </c>
      <c r="C67" s="67"/>
      <c r="D67" s="14">
        <f>D36</f>
        <v>325.95999999999998</v>
      </c>
    </row>
    <row r="68" spans="1:5" x14ac:dyDescent="0.2">
      <c r="A68" s="32" t="s">
        <v>24</v>
      </c>
      <c r="B68" s="67" t="s">
        <v>25</v>
      </c>
      <c r="C68" s="67"/>
      <c r="D68" s="14">
        <f>D50</f>
        <v>736.98</v>
      </c>
    </row>
    <row r="69" spans="1:5" x14ac:dyDescent="0.2">
      <c r="A69" s="32" t="s">
        <v>39</v>
      </c>
      <c r="B69" s="67" t="s">
        <v>40</v>
      </c>
      <c r="C69" s="67"/>
      <c r="D69" s="14">
        <f>D61</f>
        <v>615.87020000000007</v>
      </c>
    </row>
    <row r="70" spans="1:5" x14ac:dyDescent="0.2">
      <c r="A70" s="66" t="s">
        <v>16</v>
      </c>
      <c r="B70" s="66"/>
      <c r="C70" s="66"/>
      <c r="D70" s="19">
        <f>SUM(D67:D69)</f>
        <v>1678.8102000000001</v>
      </c>
    </row>
    <row r="71" spans="1:5" x14ac:dyDescent="0.2">
      <c r="A71" s="4"/>
      <c r="E71" s="18"/>
    </row>
    <row r="73" spans="1:5" x14ac:dyDescent="0.2">
      <c r="A73" s="72" t="s">
        <v>45</v>
      </c>
      <c r="B73" s="72"/>
      <c r="C73" s="72"/>
      <c r="D73" s="72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8" t="s">
        <v>46</v>
      </c>
      <c r="C75" s="78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TRUNC(((1/12)*5%),4)</f>
        <v>4.1000000000000003E-3</v>
      </c>
      <c r="D76" s="13">
        <f>TRUNC($D$26*C76,2)</f>
        <v>6.87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0.54</v>
      </c>
    </row>
    <row r="78" spans="1:5" x14ac:dyDescent="0.2">
      <c r="A78" s="32" t="s">
        <v>8</v>
      </c>
      <c r="B78" s="10" t="s">
        <v>98</v>
      </c>
      <c r="C78" s="9">
        <f>TRUNC(8%*5%*40%,4)</f>
        <v>1.6000000000000001E-3</v>
      </c>
      <c r="D78" s="13">
        <f>TRUNC($D$26*C78,2)</f>
        <v>2.68</v>
      </c>
    </row>
    <row r="79" spans="1:5" x14ac:dyDescent="0.2">
      <c r="A79" s="32" t="s">
        <v>10</v>
      </c>
      <c r="B79" s="10" t="s">
        <v>49</v>
      </c>
      <c r="C79" s="9">
        <f>TRUNC(((7/30)/12)*95%,4)</f>
        <v>1.84E-2</v>
      </c>
      <c r="D79" s="13">
        <f>TRUNC($D$26*C79,2)</f>
        <v>30.85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11.35</v>
      </c>
    </row>
    <row r="81" spans="1:4" x14ac:dyDescent="0.2">
      <c r="A81" s="32" t="s">
        <v>32</v>
      </c>
      <c r="B81" s="10" t="s">
        <v>99</v>
      </c>
      <c r="C81" s="9">
        <f>TRUNC(8%*95%*40%,4)</f>
        <v>3.04E-2</v>
      </c>
      <c r="D81" s="13">
        <f t="shared" ref="D81" si="1">TRUNC($D$26*C81,2)</f>
        <v>50.97</v>
      </c>
    </row>
    <row r="82" spans="1:4" x14ac:dyDescent="0.2">
      <c r="A82" s="76" t="s">
        <v>16</v>
      </c>
      <c r="B82" s="77"/>
      <c r="C82" s="80"/>
      <c r="D82" s="19">
        <f>SUM(D76:D81)</f>
        <v>103.25999999999999</v>
      </c>
    </row>
    <row r="85" spans="1:4" x14ac:dyDescent="0.2">
      <c r="A85" s="72" t="s">
        <v>50</v>
      </c>
      <c r="B85" s="72"/>
      <c r="C85" s="72"/>
      <c r="D85" s="72"/>
    </row>
    <row r="88" spans="1:4" x14ac:dyDescent="0.2">
      <c r="A88" s="79" t="s">
        <v>77</v>
      </c>
      <c r="B88" s="79"/>
      <c r="C88" s="79"/>
      <c r="D88" s="79"/>
    </row>
    <row r="89" spans="1:4" x14ac:dyDescent="0.2">
      <c r="A89" s="3"/>
    </row>
    <row r="90" spans="1:4" x14ac:dyDescent="0.2">
      <c r="A90" s="30" t="s">
        <v>51</v>
      </c>
      <c r="B90" s="78" t="s">
        <v>78</v>
      </c>
      <c r="C90" s="78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</f>
        <v>9.1999999999999998E-3</v>
      </c>
      <c r="D91" s="13">
        <f>TRUNC(($D$26+$D$70+$D$82)*C91,2)</f>
        <v>31.82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19.02</v>
      </c>
    </row>
    <row r="93" spans="1:4" x14ac:dyDescent="0.2">
      <c r="A93" s="32" t="s">
        <v>8</v>
      </c>
      <c r="B93" s="29" t="s">
        <v>81</v>
      </c>
      <c r="C93" s="9">
        <f>TRUNC(((5/30)/12)*2%,4)</f>
        <v>2.0000000000000001E-4</v>
      </c>
      <c r="D93" s="13">
        <f t="shared" si="2"/>
        <v>0.69</v>
      </c>
    </row>
    <row r="94" spans="1:4" x14ac:dyDescent="0.2">
      <c r="A94" s="32" t="s">
        <v>10</v>
      </c>
      <c r="B94" s="29" t="s">
        <v>82</v>
      </c>
      <c r="C94" s="9">
        <f>TRUNC(((15/30)/12)*8%,4)</f>
        <v>3.3E-3</v>
      </c>
      <c r="D94" s="13">
        <f t="shared" si="2"/>
        <v>11.41</v>
      </c>
    </row>
    <row r="95" spans="1:4" x14ac:dyDescent="0.2">
      <c r="A95" s="32" t="s">
        <v>12</v>
      </c>
      <c r="B95" s="29" t="s">
        <v>83</v>
      </c>
      <c r="C95" s="9">
        <f>((1+1/3)/12)*3%*(4/12)</f>
        <v>1.1111111111111109E-3</v>
      </c>
      <c r="D95" s="13">
        <f t="shared" si="2"/>
        <v>3.84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66" t="s">
        <v>37</v>
      </c>
      <c r="B97" s="66"/>
      <c r="C97" s="66"/>
      <c r="D97" s="19">
        <f>SUM(D91:D96)</f>
        <v>66.78</v>
      </c>
      <c r="E97" s="17"/>
      <c r="F97" s="17"/>
    </row>
    <row r="100" spans="1:6" x14ac:dyDescent="0.2">
      <c r="A100" s="79" t="s">
        <v>85</v>
      </c>
      <c r="B100" s="79"/>
      <c r="C100" s="79"/>
      <c r="D100" s="79"/>
    </row>
    <row r="101" spans="1:6" x14ac:dyDescent="0.2">
      <c r="A101" s="3"/>
    </row>
    <row r="102" spans="1:6" x14ac:dyDescent="0.2">
      <c r="A102" s="30" t="s">
        <v>52</v>
      </c>
      <c r="B102" s="78" t="s">
        <v>86</v>
      </c>
      <c r="C102" s="78"/>
      <c r="D102" s="30" t="s">
        <v>3</v>
      </c>
    </row>
    <row r="103" spans="1:6" x14ac:dyDescent="0.2">
      <c r="A103" s="32" t="s">
        <v>4</v>
      </c>
      <c r="B103" s="73" t="s">
        <v>87</v>
      </c>
      <c r="C103" s="74"/>
      <c r="D103" s="13">
        <f>((D26+D70+D82)/220)*22*0</f>
        <v>0</v>
      </c>
    </row>
    <row r="104" spans="1:6" x14ac:dyDescent="0.2">
      <c r="A104" s="66" t="s">
        <v>16</v>
      </c>
      <c r="B104" s="66"/>
      <c r="C104" s="66"/>
      <c r="D104" s="19">
        <f>SUM(D103)</f>
        <v>0</v>
      </c>
    </row>
    <row r="107" spans="1:6" x14ac:dyDescent="0.2">
      <c r="A107" s="79" t="s">
        <v>53</v>
      </c>
      <c r="B107" s="79"/>
      <c r="C107" s="79"/>
      <c r="D107" s="79"/>
    </row>
    <row r="108" spans="1:6" x14ac:dyDescent="0.2">
      <c r="A108" s="3"/>
    </row>
    <row r="109" spans="1:6" x14ac:dyDescent="0.2">
      <c r="A109" s="30">
        <v>4</v>
      </c>
      <c r="B109" s="66" t="s">
        <v>54</v>
      </c>
      <c r="C109" s="66"/>
      <c r="D109" s="30" t="s">
        <v>3</v>
      </c>
    </row>
    <row r="110" spans="1:6" x14ac:dyDescent="0.2">
      <c r="A110" s="32" t="s">
        <v>51</v>
      </c>
      <c r="B110" s="67" t="s">
        <v>78</v>
      </c>
      <c r="C110" s="67"/>
      <c r="D110" s="14">
        <f>D97</f>
        <v>66.78</v>
      </c>
    </row>
    <row r="111" spans="1:6" x14ac:dyDescent="0.2">
      <c r="A111" s="32" t="s">
        <v>52</v>
      </c>
      <c r="B111" s="67" t="s">
        <v>86</v>
      </c>
      <c r="C111" s="67"/>
      <c r="D111" s="14">
        <f>D104</f>
        <v>0</v>
      </c>
    </row>
    <row r="112" spans="1:6" x14ac:dyDescent="0.2">
      <c r="A112" s="66" t="s">
        <v>16</v>
      </c>
      <c r="B112" s="66"/>
      <c r="C112" s="66"/>
      <c r="D112" s="19">
        <f>SUM(D110:D111)</f>
        <v>66.78</v>
      </c>
    </row>
    <row r="115" spans="1:4" x14ac:dyDescent="0.2">
      <c r="A115" s="72" t="s">
        <v>55</v>
      </c>
      <c r="B115" s="72"/>
      <c r="C115" s="72"/>
      <c r="D115" s="72"/>
    </row>
    <row r="117" spans="1:4" x14ac:dyDescent="0.2">
      <c r="A117" s="30">
        <v>5</v>
      </c>
      <c r="B117" s="75" t="s">
        <v>56</v>
      </c>
      <c r="C117" s="75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v>21.44</v>
      </c>
    </row>
    <row r="119" spans="1:4" x14ac:dyDescent="0.2">
      <c r="A119" s="32" t="s">
        <v>6</v>
      </c>
      <c r="B119" s="29" t="s">
        <v>58</v>
      </c>
      <c r="C119" s="29"/>
      <c r="D119" s="13"/>
    </row>
    <row r="120" spans="1:4" x14ac:dyDescent="0.2">
      <c r="A120" s="32" t="s">
        <v>8</v>
      </c>
      <c r="B120" s="29" t="s">
        <v>59</v>
      </c>
      <c r="C120" s="29"/>
      <c r="D120" s="13"/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66" t="s">
        <v>37</v>
      </c>
      <c r="B122" s="66"/>
      <c r="C122" s="66"/>
      <c r="D122" s="20">
        <f>SUM(D118:D121)</f>
        <v>21.44</v>
      </c>
    </row>
    <row r="125" spans="1:4" x14ac:dyDescent="0.2">
      <c r="A125" s="72" t="s">
        <v>60</v>
      </c>
      <c r="B125" s="72"/>
      <c r="C125" s="72"/>
      <c r="D125" s="72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0.05</v>
      </c>
      <c r="D128" s="14">
        <f>D148*C128</f>
        <v>177.35601000000003</v>
      </c>
    </row>
    <row r="129" spans="1:4" x14ac:dyDescent="0.2">
      <c r="A129" s="32" t="s">
        <v>6</v>
      </c>
      <c r="B129" s="29" t="s">
        <v>63</v>
      </c>
      <c r="C129" s="9">
        <v>0.06</v>
      </c>
      <c r="D129" s="13">
        <f>(D148+D128)*C129</f>
        <v>223.46857260000002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373.83385188275867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28.091569999999997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129.65339999999998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216.089</v>
      </c>
    </row>
    <row r="137" spans="1:4" ht="13.5" x14ac:dyDescent="0.2">
      <c r="A137" s="76" t="s">
        <v>37</v>
      </c>
      <c r="B137" s="77"/>
      <c r="C137" s="21">
        <f>(1+C129)*(1+C128)/(1-C130)-1</f>
        <v>0.21839080459770144</v>
      </c>
      <c r="D137" s="19">
        <f>SUM(D128:D130)</f>
        <v>774.65843448275871</v>
      </c>
    </row>
    <row r="140" spans="1:4" x14ac:dyDescent="0.2">
      <c r="A140" s="72" t="s">
        <v>68</v>
      </c>
      <c r="B140" s="72"/>
      <c r="C140" s="72"/>
      <c r="D140" s="72"/>
    </row>
    <row r="142" spans="1:4" x14ac:dyDescent="0.2">
      <c r="A142" s="30"/>
      <c r="B142" s="66" t="s">
        <v>69</v>
      </c>
      <c r="C142" s="66"/>
      <c r="D142" s="30" t="s">
        <v>3</v>
      </c>
    </row>
    <row r="143" spans="1:4" x14ac:dyDescent="0.2">
      <c r="A143" s="30" t="s">
        <v>4</v>
      </c>
      <c r="B143" s="67" t="s">
        <v>1</v>
      </c>
      <c r="C143" s="67"/>
      <c r="D143" s="22">
        <f>D26</f>
        <v>1676.83</v>
      </c>
    </row>
    <row r="144" spans="1:4" x14ac:dyDescent="0.2">
      <c r="A144" s="30" t="s">
        <v>6</v>
      </c>
      <c r="B144" s="67" t="s">
        <v>17</v>
      </c>
      <c r="C144" s="67"/>
      <c r="D144" s="22">
        <f>D70</f>
        <v>1678.8102000000001</v>
      </c>
    </row>
    <row r="145" spans="1:4" x14ac:dyDescent="0.2">
      <c r="A145" s="30" t="s">
        <v>8</v>
      </c>
      <c r="B145" s="67" t="s">
        <v>45</v>
      </c>
      <c r="C145" s="67"/>
      <c r="D145" s="22">
        <f>D82</f>
        <v>103.25999999999999</v>
      </c>
    </row>
    <row r="146" spans="1:4" x14ac:dyDescent="0.2">
      <c r="A146" s="30" t="s">
        <v>10</v>
      </c>
      <c r="B146" s="67" t="s">
        <v>50</v>
      </c>
      <c r="C146" s="67"/>
      <c r="D146" s="22">
        <f>D112</f>
        <v>66.78</v>
      </c>
    </row>
    <row r="147" spans="1:4" x14ac:dyDescent="0.2">
      <c r="A147" s="30" t="s">
        <v>12</v>
      </c>
      <c r="B147" s="67" t="s">
        <v>55</v>
      </c>
      <c r="C147" s="67"/>
      <c r="D147" s="22">
        <f>D122</f>
        <v>21.44</v>
      </c>
    </row>
    <row r="148" spans="1:4" x14ac:dyDescent="0.2">
      <c r="A148" s="66" t="s">
        <v>94</v>
      </c>
      <c r="B148" s="66"/>
      <c r="C148" s="66"/>
      <c r="D148" s="23">
        <f>SUM(D143:D147)</f>
        <v>3547.1202000000003</v>
      </c>
    </row>
    <row r="149" spans="1:4" x14ac:dyDescent="0.2">
      <c r="A149" s="30" t="s">
        <v>32</v>
      </c>
      <c r="B149" s="67" t="s">
        <v>70</v>
      </c>
      <c r="C149" s="67"/>
      <c r="D149" s="24">
        <f>D137</f>
        <v>774.65843448275871</v>
      </c>
    </row>
    <row r="150" spans="1:4" x14ac:dyDescent="0.2">
      <c r="A150" s="66" t="s">
        <v>71</v>
      </c>
      <c r="B150" s="66"/>
      <c r="C150" s="66"/>
      <c r="D150" s="23">
        <f>ROUND(SUM(D148:D149),2)</f>
        <v>4321.78</v>
      </c>
    </row>
  </sheetData>
  <mergeCells count="71">
    <mergeCell ref="B146:C146"/>
    <mergeCell ref="B147:C147"/>
    <mergeCell ref="A148:C148"/>
    <mergeCell ref="B149:C149"/>
    <mergeCell ref="A150:C150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C10:D10"/>
    <mergeCell ref="A1:D1"/>
    <mergeCell ref="A3:D3"/>
    <mergeCell ref="A5:B5"/>
    <mergeCell ref="A6:B6"/>
    <mergeCell ref="A8:D8"/>
  </mergeCells>
  <pageMargins left="0.51181102362204722" right="0.51181102362204722" top="1.102362204724409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zoomScaleNormal="115" zoomScaleSheetLayoutView="100" workbookViewId="0">
      <selection activeCell="A7" sqref="A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1" t="s">
        <v>0</v>
      </c>
      <c r="B1" s="81"/>
      <c r="C1" s="81"/>
      <c r="D1" s="81"/>
    </row>
    <row r="2" spans="1:4" ht="15.75" x14ac:dyDescent="0.25">
      <c r="A2" s="26"/>
      <c r="B2" s="26"/>
      <c r="C2" s="26"/>
      <c r="D2" s="26"/>
    </row>
    <row r="3" spans="1:4" x14ac:dyDescent="0.2">
      <c r="A3" s="71" t="s">
        <v>88</v>
      </c>
      <c r="B3" s="71"/>
      <c r="C3" s="71"/>
      <c r="D3" s="71"/>
    </row>
    <row r="4" spans="1:4" x14ac:dyDescent="0.2">
      <c r="A4" s="2"/>
      <c r="B4" s="2"/>
      <c r="C4" s="2"/>
      <c r="D4" s="2"/>
    </row>
    <row r="5" spans="1:4" ht="38.25" x14ac:dyDescent="0.2">
      <c r="A5" s="83" t="s">
        <v>89</v>
      </c>
      <c r="B5" s="83"/>
      <c r="C5" s="32" t="s">
        <v>90</v>
      </c>
      <c r="D5" s="27" t="s">
        <v>91</v>
      </c>
    </row>
    <row r="6" spans="1:4" x14ac:dyDescent="0.2">
      <c r="A6" s="63" t="s">
        <v>162</v>
      </c>
      <c r="B6" s="63"/>
      <c r="C6" s="33" t="s">
        <v>100</v>
      </c>
      <c r="D6" s="33">
        <v>40</v>
      </c>
    </row>
    <row r="8" spans="1:4" x14ac:dyDescent="0.2">
      <c r="A8" s="71" t="s">
        <v>72</v>
      </c>
      <c r="B8" s="71"/>
      <c r="C8" s="71"/>
      <c r="D8" s="71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64" t="s">
        <v>137</v>
      </c>
      <c r="D10" s="65"/>
    </row>
    <row r="11" spans="1:4" x14ac:dyDescent="0.2">
      <c r="A11" s="5">
        <v>2</v>
      </c>
      <c r="B11" s="5" t="s">
        <v>92</v>
      </c>
      <c r="C11" s="64" t="s">
        <v>102</v>
      </c>
      <c r="D11" s="65"/>
    </row>
    <row r="12" spans="1:4" x14ac:dyDescent="0.2">
      <c r="A12" s="5">
        <v>3</v>
      </c>
      <c r="B12" s="5" t="s">
        <v>74</v>
      </c>
      <c r="C12" s="68">
        <v>1669.59</v>
      </c>
      <c r="D12" s="69"/>
    </row>
    <row r="13" spans="1:4" x14ac:dyDescent="0.2">
      <c r="A13" s="5">
        <v>4</v>
      </c>
      <c r="B13" s="5" t="s">
        <v>75</v>
      </c>
      <c r="C13" s="64" t="s">
        <v>101</v>
      </c>
      <c r="D13" s="65"/>
    </row>
    <row r="14" spans="1:4" x14ac:dyDescent="0.2">
      <c r="A14" s="5">
        <v>5</v>
      </c>
      <c r="B14" s="5" t="s">
        <v>76</v>
      </c>
      <c r="C14" s="70">
        <v>45657</v>
      </c>
      <c r="D14" s="65"/>
    </row>
    <row r="16" spans="1:4" x14ac:dyDescent="0.2">
      <c r="A16" s="71" t="s">
        <v>1</v>
      </c>
      <c r="B16" s="71"/>
      <c r="C16" s="71"/>
      <c r="D16" s="71"/>
    </row>
    <row r="18" spans="1:4" x14ac:dyDescent="0.2">
      <c r="A18" s="30">
        <v>1</v>
      </c>
      <c r="B18" s="66" t="s">
        <v>2</v>
      </c>
      <c r="C18" s="66"/>
      <c r="D18" s="30" t="s">
        <v>3</v>
      </c>
    </row>
    <row r="19" spans="1:4" x14ac:dyDescent="0.2">
      <c r="A19" s="32" t="s">
        <v>4</v>
      </c>
      <c r="B19" s="67" t="s">
        <v>5</v>
      </c>
      <c r="C19" s="67"/>
      <c r="D19" s="13">
        <v>1669.59</v>
      </c>
    </row>
    <row r="20" spans="1:4" x14ac:dyDescent="0.2">
      <c r="A20" s="32" t="s">
        <v>6</v>
      </c>
      <c r="B20" s="67" t="s">
        <v>7</v>
      </c>
      <c r="C20" s="67"/>
      <c r="D20" s="13"/>
    </row>
    <row r="21" spans="1:4" x14ac:dyDescent="0.2">
      <c r="A21" s="32" t="s">
        <v>8</v>
      </c>
      <c r="B21" s="67" t="s">
        <v>9</v>
      </c>
      <c r="C21" s="67"/>
      <c r="D21" s="13"/>
    </row>
    <row r="22" spans="1:4" x14ac:dyDescent="0.2">
      <c r="A22" s="32" t="s">
        <v>10</v>
      </c>
      <c r="B22" s="67" t="s">
        <v>11</v>
      </c>
      <c r="C22" s="67"/>
      <c r="D22" s="13"/>
    </row>
    <row r="23" spans="1:4" x14ac:dyDescent="0.2">
      <c r="A23" s="32" t="s">
        <v>12</v>
      </c>
      <c r="B23" s="67" t="s">
        <v>13</v>
      </c>
      <c r="C23" s="67"/>
      <c r="D23" s="13"/>
    </row>
    <row r="24" spans="1:4" x14ac:dyDescent="0.2">
      <c r="A24" s="32"/>
      <c r="B24" s="67"/>
      <c r="C24" s="67"/>
      <c r="D24" s="13"/>
    </row>
    <row r="25" spans="1:4" x14ac:dyDescent="0.2">
      <c r="A25" s="32" t="s">
        <v>14</v>
      </c>
      <c r="B25" s="67" t="s">
        <v>15</v>
      </c>
      <c r="C25" s="67"/>
      <c r="D25" s="13"/>
    </row>
    <row r="26" spans="1:4" x14ac:dyDescent="0.2">
      <c r="A26" s="66" t="s">
        <v>16</v>
      </c>
      <c r="B26" s="66"/>
      <c r="C26" s="66"/>
      <c r="D26" s="20">
        <f>SUM(D19:D25)</f>
        <v>1669.59</v>
      </c>
    </row>
    <row r="29" spans="1:4" x14ac:dyDescent="0.2">
      <c r="A29" s="72" t="s">
        <v>17</v>
      </c>
      <c r="B29" s="72"/>
      <c r="C29" s="72"/>
      <c r="D29" s="72"/>
    </row>
    <row r="30" spans="1:4" x14ac:dyDescent="0.2">
      <c r="A30" s="3"/>
    </row>
    <row r="31" spans="1:4" x14ac:dyDescent="0.2">
      <c r="A31" s="79" t="s">
        <v>18</v>
      </c>
      <c r="B31" s="79"/>
      <c r="C31" s="79"/>
      <c r="D31" s="79"/>
    </row>
    <row r="33" spans="1:4" x14ac:dyDescent="0.2">
      <c r="A33" s="30" t="s">
        <v>19</v>
      </c>
      <c r="B33" s="66" t="s">
        <v>20</v>
      </c>
      <c r="C33" s="66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139.07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185.49</v>
      </c>
    </row>
    <row r="36" spans="1:4" x14ac:dyDescent="0.2">
      <c r="A36" s="66" t="s">
        <v>16</v>
      </c>
      <c r="B36" s="66"/>
      <c r="C36" s="28">
        <f>SUM(C34:C35)</f>
        <v>0.19440000000000002</v>
      </c>
      <c r="D36" s="19">
        <f>SUM(D34:D35)</f>
        <v>324.56</v>
      </c>
    </row>
    <row r="39" spans="1:4" x14ac:dyDescent="0.2">
      <c r="A39" s="82" t="s">
        <v>23</v>
      </c>
      <c r="B39" s="82"/>
      <c r="C39" s="82"/>
      <c r="D39" s="82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398.83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49.85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59.82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29.91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19.940000000000001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11.96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3.98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159.53</v>
      </c>
    </row>
    <row r="50" spans="1:4" x14ac:dyDescent="0.2">
      <c r="A50" s="66" t="s">
        <v>37</v>
      </c>
      <c r="B50" s="66"/>
      <c r="C50" s="15">
        <f>SUM(C42:C49)</f>
        <v>0.36800000000000005</v>
      </c>
      <c r="D50" s="19">
        <f>SUM(D42:D49)</f>
        <v>733.82</v>
      </c>
    </row>
    <row r="53" spans="1:4" x14ac:dyDescent="0.2">
      <c r="A53" s="79" t="s">
        <v>38</v>
      </c>
      <c r="B53" s="79"/>
      <c r="C53" s="79"/>
      <c r="D53" s="79"/>
    </row>
    <row r="55" spans="1:4" x14ac:dyDescent="0.2">
      <c r="A55" s="30" t="s">
        <v>39</v>
      </c>
      <c r="B55" s="78" t="s">
        <v>40</v>
      </c>
      <c r="C55" s="78"/>
      <c r="D55" s="30" t="s">
        <v>3</v>
      </c>
    </row>
    <row r="56" spans="1:4" x14ac:dyDescent="0.2">
      <c r="A56" s="32" t="s">
        <v>4</v>
      </c>
      <c r="B56" s="67" t="s">
        <v>41</v>
      </c>
      <c r="C56" s="67"/>
      <c r="D56" s="13">
        <f>IF((22*2*5.2)-(D19*0.06)&gt;0,(22*2*5.2)-(D19*0.06),0)</f>
        <v>128.62460000000002</v>
      </c>
    </row>
    <row r="57" spans="1:4" x14ac:dyDescent="0.2">
      <c r="A57" s="32" t="s">
        <v>6</v>
      </c>
      <c r="B57" s="67" t="s">
        <v>42</v>
      </c>
      <c r="C57" s="67"/>
      <c r="D57" s="13">
        <f>17*0.8*22</f>
        <v>299.20000000000005</v>
      </c>
    </row>
    <row r="58" spans="1:4" x14ac:dyDescent="0.2">
      <c r="A58" s="32" t="s">
        <v>8</v>
      </c>
      <c r="B58" s="67" t="s">
        <v>103</v>
      </c>
      <c r="C58" s="67"/>
      <c r="D58" s="13">
        <v>170</v>
      </c>
    </row>
    <row r="59" spans="1:4" x14ac:dyDescent="0.2">
      <c r="A59" s="32" t="s">
        <v>10</v>
      </c>
      <c r="B59" s="67" t="s">
        <v>104</v>
      </c>
      <c r="C59" s="67"/>
      <c r="D59" s="13">
        <v>14</v>
      </c>
    </row>
    <row r="60" spans="1:4" x14ac:dyDescent="0.2">
      <c r="A60" s="32" t="s">
        <v>10</v>
      </c>
      <c r="B60" s="67" t="s">
        <v>105</v>
      </c>
      <c r="C60" s="67"/>
      <c r="D60" s="13">
        <v>4.4800000000000004</v>
      </c>
    </row>
    <row r="61" spans="1:4" x14ac:dyDescent="0.2">
      <c r="A61" s="66" t="s">
        <v>16</v>
      </c>
      <c r="B61" s="66"/>
      <c r="C61" s="66"/>
      <c r="D61" s="19">
        <f>SUM(D56:D60)</f>
        <v>616.30460000000005</v>
      </c>
    </row>
    <row r="64" spans="1:4" x14ac:dyDescent="0.2">
      <c r="A64" s="79" t="s">
        <v>43</v>
      </c>
      <c r="B64" s="79"/>
      <c r="C64" s="79"/>
      <c r="D64" s="79"/>
    </row>
    <row r="66" spans="1:5" x14ac:dyDescent="0.2">
      <c r="A66" s="30">
        <v>2</v>
      </c>
      <c r="B66" s="78" t="s">
        <v>44</v>
      </c>
      <c r="C66" s="78"/>
      <c r="D66" s="30" t="s">
        <v>3</v>
      </c>
    </row>
    <row r="67" spans="1:5" x14ac:dyDescent="0.2">
      <c r="A67" s="32" t="s">
        <v>19</v>
      </c>
      <c r="B67" s="67" t="s">
        <v>20</v>
      </c>
      <c r="C67" s="67"/>
      <c r="D67" s="14">
        <f>D36</f>
        <v>324.56</v>
      </c>
    </row>
    <row r="68" spans="1:5" x14ac:dyDescent="0.2">
      <c r="A68" s="32" t="s">
        <v>24</v>
      </c>
      <c r="B68" s="67" t="s">
        <v>25</v>
      </c>
      <c r="C68" s="67"/>
      <c r="D68" s="14">
        <f>D50</f>
        <v>733.82</v>
      </c>
    </row>
    <row r="69" spans="1:5" x14ac:dyDescent="0.2">
      <c r="A69" s="32" t="s">
        <v>39</v>
      </c>
      <c r="B69" s="67" t="s">
        <v>40</v>
      </c>
      <c r="C69" s="67"/>
      <c r="D69" s="14">
        <f>D61</f>
        <v>616.30460000000005</v>
      </c>
    </row>
    <row r="70" spans="1:5" x14ac:dyDescent="0.2">
      <c r="A70" s="66" t="s">
        <v>16</v>
      </c>
      <c r="B70" s="66"/>
      <c r="C70" s="66"/>
      <c r="D70" s="19">
        <f>SUM(D67:D69)</f>
        <v>1674.6846</v>
      </c>
    </row>
    <row r="71" spans="1:5" x14ac:dyDescent="0.2">
      <c r="A71" s="4"/>
      <c r="E71" s="18"/>
    </row>
    <row r="73" spans="1:5" x14ac:dyDescent="0.2">
      <c r="A73" s="72" t="s">
        <v>45</v>
      </c>
      <c r="B73" s="72"/>
      <c r="C73" s="72"/>
      <c r="D73" s="72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8" t="s">
        <v>46</v>
      </c>
      <c r="C75" s="78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TRUNC(((1/12)*5%),4)*0</f>
        <v>0</v>
      </c>
      <c r="D76" s="13">
        <f>TRUNC($D$26*C76,2)</f>
        <v>0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</v>
      </c>
    </row>
    <row r="78" spans="1:5" x14ac:dyDescent="0.2">
      <c r="A78" s="32" t="s">
        <v>8</v>
      </c>
      <c r="B78" s="10" t="s">
        <v>98</v>
      </c>
      <c r="C78" s="9">
        <f>TRUNC(8%*5%*40%,4)*0</f>
        <v>0</v>
      </c>
      <c r="D78" s="13">
        <f>TRUNC($D$26*C78,2)</f>
        <v>0</v>
      </c>
    </row>
    <row r="79" spans="1:5" x14ac:dyDescent="0.2">
      <c r="A79" s="32" t="s">
        <v>10</v>
      </c>
      <c r="B79" s="10" t="s">
        <v>49</v>
      </c>
      <c r="C79" s="9">
        <f>TRUNC(((7/30)/12)*95%,4)*0</f>
        <v>0</v>
      </c>
      <c r="D79" s="13">
        <f>TRUNC($D$26*C79,2)</f>
        <v>0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0</v>
      </c>
    </row>
    <row r="81" spans="1:4" x14ac:dyDescent="0.2">
      <c r="A81" s="32" t="s">
        <v>32</v>
      </c>
      <c r="B81" s="10" t="s">
        <v>99</v>
      </c>
      <c r="C81" s="9">
        <f>TRUNC(8%*95%*40%,4)*0</f>
        <v>0</v>
      </c>
      <c r="D81" s="13">
        <f t="shared" ref="D81" si="1">TRUNC($D$26*C81,2)</f>
        <v>0</v>
      </c>
    </row>
    <row r="82" spans="1:4" x14ac:dyDescent="0.2">
      <c r="A82" s="76" t="s">
        <v>16</v>
      </c>
      <c r="B82" s="77"/>
      <c r="C82" s="80"/>
      <c r="D82" s="19">
        <f>SUM(D76:D81)</f>
        <v>0</v>
      </c>
    </row>
    <row r="85" spans="1:4" x14ac:dyDescent="0.2">
      <c r="A85" s="72" t="s">
        <v>50</v>
      </c>
      <c r="B85" s="72"/>
      <c r="C85" s="72"/>
      <c r="D85" s="72"/>
    </row>
    <row r="88" spans="1:4" x14ac:dyDescent="0.2">
      <c r="A88" s="79" t="s">
        <v>77</v>
      </c>
      <c r="B88" s="79"/>
      <c r="C88" s="79"/>
      <c r="D88" s="79"/>
    </row>
    <row r="89" spans="1:4" x14ac:dyDescent="0.2">
      <c r="A89" s="3"/>
    </row>
    <row r="90" spans="1:4" x14ac:dyDescent="0.2">
      <c r="A90" s="30" t="s">
        <v>51</v>
      </c>
      <c r="B90" s="78" t="s">
        <v>78</v>
      </c>
      <c r="C90" s="78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TRUNC(((1+1/3)/12)/12,4)*0</f>
        <v>0</v>
      </c>
      <c r="D91" s="13">
        <f>TRUNC(($D$26+$D$70+$D$82)*C91,2)</f>
        <v>0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18.39</v>
      </c>
    </row>
    <row r="93" spans="1:4" x14ac:dyDescent="0.2">
      <c r="A93" s="32" t="s">
        <v>8</v>
      </c>
      <c r="B93" s="29" t="s">
        <v>81</v>
      </c>
      <c r="C93" s="9">
        <f>TRUNC(((5/30)/12)*2%,4)*0</f>
        <v>0</v>
      </c>
      <c r="D93" s="13">
        <f t="shared" si="2"/>
        <v>0</v>
      </c>
    </row>
    <row r="94" spans="1:4" x14ac:dyDescent="0.2">
      <c r="A94" s="32" t="s">
        <v>10</v>
      </c>
      <c r="B94" s="29" t="s">
        <v>82</v>
      </c>
      <c r="C94" s="9">
        <f>TRUNC(((15/30)/12)*8%,4)*0</f>
        <v>0</v>
      </c>
      <c r="D94" s="13">
        <f t="shared" si="2"/>
        <v>0</v>
      </c>
    </row>
    <row r="95" spans="1:4" x14ac:dyDescent="0.2">
      <c r="A95" s="32" t="s">
        <v>12</v>
      </c>
      <c r="B95" s="29" t="s">
        <v>83</v>
      </c>
      <c r="C95" s="9">
        <f>((1+1/3)/12)*3%*(4/12)*0</f>
        <v>0</v>
      </c>
      <c r="D95" s="13">
        <f t="shared" si="2"/>
        <v>0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66" t="s">
        <v>37</v>
      </c>
      <c r="B97" s="66"/>
      <c r="C97" s="66"/>
      <c r="D97" s="19">
        <f>SUM(D91:D96)</f>
        <v>18.39</v>
      </c>
      <c r="E97" s="17"/>
      <c r="F97" s="17"/>
    </row>
    <row r="100" spans="1:6" x14ac:dyDescent="0.2">
      <c r="A100" s="79" t="s">
        <v>85</v>
      </c>
      <c r="B100" s="79"/>
      <c r="C100" s="79"/>
      <c r="D100" s="79"/>
    </row>
    <row r="101" spans="1:6" x14ac:dyDescent="0.2">
      <c r="A101" s="3"/>
    </row>
    <row r="102" spans="1:6" x14ac:dyDescent="0.2">
      <c r="A102" s="30" t="s">
        <v>52</v>
      </c>
      <c r="B102" s="78" t="s">
        <v>86</v>
      </c>
      <c r="C102" s="78"/>
      <c r="D102" s="30" t="s">
        <v>3</v>
      </c>
    </row>
    <row r="103" spans="1:6" x14ac:dyDescent="0.2">
      <c r="A103" s="32" t="s">
        <v>4</v>
      </c>
      <c r="B103" s="73" t="s">
        <v>87</v>
      </c>
      <c r="C103" s="74"/>
      <c r="D103" s="13">
        <f>((D26+D70+D82)/220)*22*0</f>
        <v>0</v>
      </c>
    </row>
    <row r="104" spans="1:6" x14ac:dyDescent="0.2">
      <c r="A104" s="66" t="s">
        <v>16</v>
      </c>
      <c r="B104" s="66"/>
      <c r="C104" s="66"/>
      <c r="D104" s="19">
        <f>SUM(D103)</f>
        <v>0</v>
      </c>
    </row>
    <row r="107" spans="1:6" x14ac:dyDescent="0.2">
      <c r="A107" s="79" t="s">
        <v>53</v>
      </c>
      <c r="B107" s="79"/>
      <c r="C107" s="79"/>
      <c r="D107" s="79"/>
    </row>
    <row r="108" spans="1:6" x14ac:dyDescent="0.2">
      <c r="A108" s="3"/>
    </row>
    <row r="109" spans="1:6" x14ac:dyDescent="0.2">
      <c r="A109" s="30">
        <v>4</v>
      </c>
      <c r="B109" s="66" t="s">
        <v>54</v>
      </c>
      <c r="C109" s="66"/>
      <c r="D109" s="30" t="s">
        <v>3</v>
      </c>
    </row>
    <row r="110" spans="1:6" x14ac:dyDescent="0.2">
      <c r="A110" s="32" t="s">
        <v>51</v>
      </c>
      <c r="B110" s="67" t="s">
        <v>78</v>
      </c>
      <c r="C110" s="67"/>
      <c r="D110" s="14">
        <f>D97</f>
        <v>18.39</v>
      </c>
    </row>
    <row r="111" spans="1:6" x14ac:dyDescent="0.2">
      <c r="A111" s="32" t="s">
        <v>52</v>
      </c>
      <c r="B111" s="67" t="s">
        <v>86</v>
      </c>
      <c r="C111" s="67"/>
      <c r="D111" s="14">
        <f>D104</f>
        <v>0</v>
      </c>
    </row>
    <row r="112" spans="1:6" x14ac:dyDescent="0.2">
      <c r="A112" s="66" t="s">
        <v>16</v>
      </c>
      <c r="B112" s="66"/>
      <c r="C112" s="66"/>
      <c r="D112" s="19">
        <f>SUM(D110:D111)</f>
        <v>18.39</v>
      </c>
    </row>
    <row r="115" spans="1:4" x14ac:dyDescent="0.2">
      <c r="A115" s="72" t="s">
        <v>55</v>
      </c>
      <c r="B115" s="72"/>
      <c r="C115" s="72"/>
      <c r="D115" s="72"/>
    </row>
    <row r="117" spans="1:4" x14ac:dyDescent="0.2">
      <c r="A117" s="30">
        <v>5</v>
      </c>
      <c r="B117" s="75" t="s">
        <v>56</v>
      </c>
      <c r="C117" s="75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f>ROUND(257.25/12*(365/61),2)</f>
        <v>128.27000000000001</v>
      </c>
    </row>
    <row r="119" spans="1:4" x14ac:dyDescent="0.2">
      <c r="A119" s="32" t="s">
        <v>6</v>
      </c>
      <c r="B119" s="29" t="s">
        <v>58</v>
      </c>
      <c r="C119" s="29"/>
      <c r="D119" s="13"/>
    </row>
    <row r="120" spans="1:4" x14ac:dyDescent="0.2">
      <c r="A120" s="32" t="s">
        <v>8</v>
      </c>
      <c r="B120" s="29" t="s">
        <v>59</v>
      </c>
      <c r="C120" s="29"/>
      <c r="D120" s="13"/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66" t="s">
        <v>37</v>
      </c>
      <c r="B122" s="66"/>
      <c r="C122" s="66"/>
      <c r="D122" s="20">
        <f>SUM(D118:D121)</f>
        <v>128.27000000000001</v>
      </c>
    </row>
    <row r="125" spans="1:4" x14ac:dyDescent="0.2">
      <c r="A125" s="72" t="s">
        <v>60</v>
      </c>
      <c r="B125" s="72"/>
      <c r="C125" s="72"/>
      <c r="D125" s="72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0.05</v>
      </c>
      <c r="D128" s="14">
        <f>D148*C128</f>
        <v>174.54673</v>
      </c>
    </row>
    <row r="129" spans="1:4" x14ac:dyDescent="0.2">
      <c r="A129" s="32" t="s">
        <v>6</v>
      </c>
      <c r="B129" s="29" t="s">
        <v>63</v>
      </c>
      <c r="C129" s="9">
        <v>0.06</v>
      </c>
      <c r="D129" s="13">
        <f>(D148+D128)*C129</f>
        <v>219.92887979999998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367.91240629195391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27.646579999999997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127.59959999999998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212.666</v>
      </c>
    </row>
    <row r="137" spans="1:4" ht="13.5" x14ac:dyDescent="0.2">
      <c r="A137" s="76" t="s">
        <v>37</v>
      </c>
      <c r="B137" s="77"/>
      <c r="C137" s="21">
        <f>(1+C129)*(1+C128)/(1-C130)-1</f>
        <v>0.21839080459770144</v>
      </c>
      <c r="D137" s="19">
        <f>SUM(D128:D130)</f>
        <v>762.38801609195389</v>
      </c>
    </row>
    <row r="140" spans="1:4" x14ac:dyDescent="0.2">
      <c r="A140" s="72" t="s">
        <v>68</v>
      </c>
      <c r="B140" s="72"/>
      <c r="C140" s="72"/>
      <c r="D140" s="72"/>
    </row>
    <row r="142" spans="1:4" x14ac:dyDescent="0.2">
      <c r="A142" s="30"/>
      <c r="B142" s="66" t="s">
        <v>69</v>
      </c>
      <c r="C142" s="66"/>
      <c r="D142" s="30" t="s">
        <v>3</v>
      </c>
    </row>
    <row r="143" spans="1:4" x14ac:dyDescent="0.2">
      <c r="A143" s="30" t="s">
        <v>4</v>
      </c>
      <c r="B143" s="67" t="s">
        <v>1</v>
      </c>
      <c r="C143" s="67"/>
      <c r="D143" s="22">
        <f>D26</f>
        <v>1669.59</v>
      </c>
    </row>
    <row r="144" spans="1:4" x14ac:dyDescent="0.2">
      <c r="A144" s="30" t="s">
        <v>6</v>
      </c>
      <c r="B144" s="67" t="s">
        <v>17</v>
      </c>
      <c r="C144" s="67"/>
      <c r="D144" s="22">
        <f>D70</f>
        <v>1674.6846</v>
      </c>
    </row>
    <row r="145" spans="1:4" x14ac:dyDescent="0.2">
      <c r="A145" s="30" t="s">
        <v>8</v>
      </c>
      <c r="B145" s="67" t="s">
        <v>45</v>
      </c>
      <c r="C145" s="67"/>
      <c r="D145" s="22">
        <f>D82</f>
        <v>0</v>
      </c>
    </row>
    <row r="146" spans="1:4" x14ac:dyDescent="0.2">
      <c r="A146" s="30" t="s">
        <v>10</v>
      </c>
      <c r="B146" s="67" t="s">
        <v>50</v>
      </c>
      <c r="C146" s="67"/>
      <c r="D146" s="22">
        <f>D112</f>
        <v>18.39</v>
      </c>
    </row>
    <row r="147" spans="1:4" x14ac:dyDescent="0.2">
      <c r="A147" s="30" t="s">
        <v>12</v>
      </c>
      <c r="B147" s="67" t="s">
        <v>55</v>
      </c>
      <c r="C147" s="67"/>
      <c r="D147" s="22">
        <f>D122</f>
        <v>128.27000000000001</v>
      </c>
    </row>
    <row r="148" spans="1:4" x14ac:dyDescent="0.2">
      <c r="A148" s="66" t="s">
        <v>94</v>
      </c>
      <c r="B148" s="66"/>
      <c r="C148" s="66"/>
      <c r="D148" s="23">
        <f>SUM(D143:D147)</f>
        <v>3490.9345999999996</v>
      </c>
    </row>
    <row r="149" spans="1:4" x14ac:dyDescent="0.2">
      <c r="A149" s="30" t="s">
        <v>32</v>
      </c>
      <c r="B149" s="67" t="s">
        <v>70</v>
      </c>
      <c r="C149" s="67"/>
      <c r="D149" s="24">
        <f>D137</f>
        <v>762.38801609195389</v>
      </c>
    </row>
    <row r="150" spans="1:4" x14ac:dyDescent="0.2">
      <c r="A150" s="66" t="s">
        <v>71</v>
      </c>
      <c r="B150" s="66"/>
      <c r="C150" s="66"/>
      <c r="D150" s="23">
        <f>ROUND(SUM(D148:D149),2)</f>
        <v>4253.32</v>
      </c>
    </row>
  </sheetData>
  <mergeCells count="71">
    <mergeCell ref="B146:C146"/>
    <mergeCell ref="B147:C147"/>
    <mergeCell ref="A148:C148"/>
    <mergeCell ref="B149:C149"/>
    <mergeCell ref="A150:C150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C10:D10"/>
    <mergeCell ref="A1:D1"/>
    <mergeCell ref="A3:D3"/>
    <mergeCell ref="A5:B5"/>
    <mergeCell ref="A6:B6"/>
    <mergeCell ref="A8:D8"/>
  </mergeCells>
  <pageMargins left="0.51181102362204722" right="0.51181102362204722" top="1.102362204724409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zoomScaleNormal="115" zoomScaleSheetLayoutView="100" workbookViewId="0">
      <selection activeCell="A7" sqref="A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1" t="s">
        <v>0</v>
      </c>
      <c r="B1" s="81"/>
      <c r="C1" s="81"/>
      <c r="D1" s="81"/>
    </row>
    <row r="2" spans="1:4" ht="15.75" x14ac:dyDescent="0.25">
      <c r="A2" s="26"/>
      <c r="B2" s="26"/>
      <c r="C2" s="26"/>
      <c r="D2" s="26"/>
    </row>
    <row r="3" spans="1:4" x14ac:dyDescent="0.2">
      <c r="A3" s="71" t="s">
        <v>88</v>
      </c>
      <c r="B3" s="71"/>
      <c r="C3" s="71"/>
      <c r="D3" s="71"/>
    </row>
    <row r="4" spans="1:4" x14ac:dyDescent="0.2">
      <c r="A4" s="2"/>
      <c r="B4" s="2"/>
      <c r="C4" s="2"/>
      <c r="D4" s="2"/>
    </row>
    <row r="5" spans="1:4" ht="38.25" x14ac:dyDescent="0.2">
      <c r="A5" s="83" t="s">
        <v>89</v>
      </c>
      <c r="B5" s="83"/>
      <c r="C5" s="32" t="s">
        <v>90</v>
      </c>
      <c r="D5" s="27" t="s">
        <v>91</v>
      </c>
    </row>
    <row r="6" spans="1:4" x14ac:dyDescent="0.2">
      <c r="A6" s="63" t="s">
        <v>163</v>
      </c>
      <c r="B6" s="63"/>
      <c r="C6" s="33" t="s">
        <v>100</v>
      </c>
      <c r="D6" s="33">
        <v>2</v>
      </c>
    </row>
    <row r="8" spans="1:4" x14ac:dyDescent="0.2">
      <c r="A8" s="71" t="s">
        <v>72</v>
      </c>
      <c r="B8" s="71"/>
      <c r="C8" s="71"/>
      <c r="D8" s="71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64" t="s">
        <v>138</v>
      </c>
      <c r="D10" s="65"/>
    </row>
    <row r="11" spans="1:4" x14ac:dyDescent="0.2">
      <c r="A11" s="5">
        <v>2</v>
      </c>
      <c r="B11" s="5" t="s">
        <v>92</v>
      </c>
      <c r="C11" s="64" t="s">
        <v>102</v>
      </c>
      <c r="D11" s="65"/>
    </row>
    <row r="12" spans="1:4" x14ac:dyDescent="0.2">
      <c r="A12" s="5">
        <v>3</v>
      </c>
      <c r="B12" s="5" t="s">
        <v>74</v>
      </c>
      <c r="C12" s="68">
        <v>1981.7</v>
      </c>
      <c r="D12" s="69"/>
    </row>
    <row r="13" spans="1:4" x14ac:dyDescent="0.2">
      <c r="A13" s="5">
        <v>4</v>
      </c>
      <c r="B13" s="5" t="s">
        <v>75</v>
      </c>
      <c r="C13" s="64" t="s">
        <v>101</v>
      </c>
      <c r="D13" s="65"/>
    </row>
    <row r="14" spans="1:4" x14ac:dyDescent="0.2">
      <c r="A14" s="5">
        <v>5</v>
      </c>
      <c r="B14" s="5" t="s">
        <v>76</v>
      </c>
      <c r="C14" s="70">
        <v>45657</v>
      </c>
      <c r="D14" s="65"/>
    </row>
    <row r="16" spans="1:4" x14ac:dyDescent="0.2">
      <c r="A16" s="71" t="s">
        <v>1</v>
      </c>
      <c r="B16" s="71"/>
      <c r="C16" s="71"/>
      <c r="D16" s="71"/>
    </row>
    <row r="18" spans="1:4" x14ac:dyDescent="0.2">
      <c r="A18" s="30">
        <v>1</v>
      </c>
      <c r="B18" s="66" t="s">
        <v>2</v>
      </c>
      <c r="C18" s="66"/>
      <c r="D18" s="30" t="s">
        <v>3</v>
      </c>
    </row>
    <row r="19" spans="1:4" x14ac:dyDescent="0.2">
      <c r="A19" s="32" t="s">
        <v>4</v>
      </c>
      <c r="B19" s="67" t="s">
        <v>5</v>
      </c>
      <c r="C19" s="67"/>
      <c r="D19" s="13">
        <v>1981.7</v>
      </c>
    </row>
    <row r="20" spans="1:4" x14ac:dyDescent="0.2">
      <c r="A20" s="32" t="s">
        <v>6</v>
      </c>
      <c r="B20" s="67" t="s">
        <v>7</v>
      </c>
      <c r="C20" s="67"/>
      <c r="D20" s="13"/>
    </row>
    <row r="21" spans="1:4" x14ac:dyDescent="0.2">
      <c r="A21" s="32" t="s">
        <v>8</v>
      </c>
      <c r="B21" s="67" t="s">
        <v>9</v>
      </c>
      <c r="C21" s="67"/>
      <c r="D21" s="13"/>
    </row>
    <row r="22" spans="1:4" x14ac:dyDescent="0.2">
      <c r="A22" s="32" t="s">
        <v>10</v>
      </c>
      <c r="B22" s="67" t="s">
        <v>11</v>
      </c>
      <c r="C22" s="67"/>
      <c r="D22" s="13"/>
    </row>
    <row r="23" spans="1:4" x14ac:dyDescent="0.2">
      <c r="A23" s="32" t="s">
        <v>12</v>
      </c>
      <c r="B23" s="67" t="s">
        <v>13</v>
      </c>
      <c r="C23" s="67"/>
      <c r="D23" s="13"/>
    </row>
    <row r="24" spans="1:4" x14ac:dyDescent="0.2">
      <c r="A24" s="32"/>
      <c r="B24" s="67"/>
      <c r="C24" s="67"/>
      <c r="D24" s="13"/>
    </row>
    <row r="25" spans="1:4" x14ac:dyDescent="0.2">
      <c r="A25" s="32" t="s">
        <v>14</v>
      </c>
      <c r="B25" s="67" t="s">
        <v>15</v>
      </c>
      <c r="C25" s="67"/>
      <c r="D25" s="13"/>
    </row>
    <row r="26" spans="1:4" x14ac:dyDescent="0.2">
      <c r="A26" s="66" t="s">
        <v>16</v>
      </c>
      <c r="B26" s="66"/>
      <c r="C26" s="66"/>
      <c r="D26" s="20">
        <f>SUM(D19:D25)</f>
        <v>1981.7</v>
      </c>
    </row>
    <row r="29" spans="1:4" x14ac:dyDescent="0.2">
      <c r="A29" s="72" t="s">
        <v>17</v>
      </c>
      <c r="B29" s="72"/>
      <c r="C29" s="72"/>
      <c r="D29" s="72"/>
    </row>
    <row r="30" spans="1:4" x14ac:dyDescent="0.2">
      <c r="A30" s="3"/>
    </row>
    <row r="31" spans="1:4" x14ac:dyDescent="0.2">
      <c r="A31" s="79" t="s">
        <v>18</v>
      </c>
      <c r="B31" s="79"/>
      <c r="C31" s="79"/>
      <c r="D31" s="79"/>
    </row>
    <row r="33" spans="1:4" x14ac:dyDescent="0.2">
      <c r="A33" s="30" t="s">
        <v>19</v>
      </c>
      <c r="B33" s="66" t="s">
        <v>20</v>
      </c>
      <c r="C33" s="66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165.07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220.16</v>
      </c>
    </row>
    <row r="36" spans="1:4" x14ac:dyDescent="0.2">
      <c r="A36" s="66" t="s">
        <v>16</v>
      </c>
      <c r="B36" s="66"/>
      <c r="C36" s="28">
        <f>SUM(C34:C35)</f>
        <v>0.19440000000000002</v>
      </c>
      <c r="D36" s="19">
        <f>SUM(D34:D35)</f>
        <v>385.23</v>
      </c>
    </row>
    <row r="39" spans="1:4" x14ac:dyDescent="0.2">
      <c r="A39" s="82" t="s">
        <v>23</v>
      </c>
      <c r="B39" s="82"/>
      <c r="C39" s="82"/>
      <c r="D39" s="82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473.38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59.17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71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35.5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23.66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14.2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4.7300000000000004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189.35</v>
      </c>
    </row>
    <row r="50" spans="1:4" x14ac:dyDescent="0.2">
      <c r="A50" s="66" t="s">
        <v>37</v>
      </c>
      <c r="B50" s="66"/>
      <c r="C50" s="15">
        <f>SUM(C42:C49)</f>
        <v>0.36800000000000005</v>
      </c>
      <c r="D50" s="19">
        <f>SUM(D42:D49)</f>
        <v>870.99</v>
      </c>
    </row>
    <row r="53" spans="1:4" x14ac:dyDescent="0.2">
      <c r="A53" s="79" t="s">
        <v>38</v>
      </c>
      <c r="B53" s="79"/>
      <c r="C53" s="79"/>
      <c r="D53" s="79"/>
    </row>
    <row r="55" spans="1:4" x14ac:dyDescent="0.2">
      <c r="A55" s="30" t="s">
        <v>39</v>
      </c>
      <c r="B55" s="78" t="s">
        <v>40</v>
      </c>
      <c r="C55" s="78"/>
      <c r="D55" s="30" t="s">
        <v>3</v>
      </c>
    </row>
    <row r="56" spans="1:4" x14ac:dyDescent="0.2">
      <c r="A56" s="32" t="s">
        <v>4</v>
      </c>
      <c r="B56" s="67" t="s">
        <v>41</v>
      </c>
      <c r="C56" s="67"/>
      <c r="D56" s="13">
        <f>IF((22*2*5.2)-(D19*0.06)&gt;0,(22*2*5.2)-(D19*0.06),0)</f>
        <v>109.89800000000001</v>
      </c>
    </row>
    <row r="57" spans="1:4" x14ac:dyDescent="0.2">
      <c r="A57" s="32" t="s">
        <v>6</v>
      </c>
      <c r="B57" s="67" t="s">
        <v>42</v>
      </c>
      <c r="C57" s="67"/>
      <c r="D57" s="13">
        <f>17*0.8*22</f>
        <v>299.20000000000005</v>
      </c>
    </row>
    <row r="58" spans="1:4" x14ac:dyDescent="0.2">
      <c r="A58" s="32" t="s">
        <v>8</v>
      </c>
      <c r="B58" s="67" t="s">
        <v>103</v>
      </c>
      <c r="C58" s="67"/>
      <c r="D58" s="13">
        <v>170</v>
      </c>
    </row>
    <row r="59" spans="1:4" x14ac:dyDescent="0.2">
      <c r="A59" s="32" t="s">
        <v>10</v>
      </c>
      <c r="B59" s="67" t="s">
        <v>104</v>
      </c>
      <c r="C59" s="67"/>
      <c r="D59" s="13">
        <v>14</v>
      </c>
    </row>
    <row r="60" spans="1:4" x14ac:dyDescent="0.2">
      <c r="A60" s="32" t="s">
        <v>10</v>
      </c>
      <c r="B60" s="67" t="s">
        <v>105</v>
      </c>
      <c r="C60" s="67"/>
      <c r="D60" s="13">
        <v>4.4800000000000004</v>
      </c>
    </row>
    <row r="61" spans="1:4" x14ac:dyDescent="0.2">
      <c r="A61" s="66" t="s">
        <v>16</v>
      </c>
      <c r="B61" s="66"/>
      <c r="C61" s="66"/>
      <c r="D61" s="19">
        <f>SUM(D56:D60)</f>
        <v>597.57800000000009</v>
      </c>
    </row>
    <row r="64" spans="1:4" x14ac:dyDescent="0.2">
      <c r="A64" s="79" t="s">
        <v>43</v>
      </c>
      <c r="B64" s="79"/>
      <c r="C64" s="79"/>
      <c r="D64" s="79"/>
    </row>
    <row r="66" spans="1:5" x14ac:dyDescent="0.2">
      <c r="A66" s="30">
        <v>2</v>
      </c>
      <c r="B66" s="78" t="s">
        <v>44</v>
      </c>
      <c r="C66" s="78"/>
      <c r="D66" s="30" t="s">
        <v>3</v>
      </c>
    </row>
    <row r="67" spans="1:5" x14ac:dyDescent="0.2">
      <c r="A67" s="32" t="s">
        <v>19</v>
      </c>
      <c r="B67" s="67" t="s">
        <v>20</v>
      </c>
      <c r="C67" s="67"/>
      <c r="D67" s="14">
        <f>D36</f>
        <v>385.23</v>
      </c>
    </row>
    <row r="68" spans="1:5" x14ac:dyDescent="0.2">
      <c r="A68" s="32" t="s">
        <v>24</v>
      </c>
      <c r="B68" s="67" t="s">
        <v>25</v>
      </c>
      <c r="C68" s="67"/>
      <c r="D68" s="14">
        <f>D50</f>
        <v>870.99</v>
      </c>
    </row>
    <row r="69" spans="1:5" x14ac:dyDescent="0.2">
      <c r="A69" s="32" t="s">
        <v>39</v>
      </c>
      <c r="B69" s="67" t="s">
        <v>40</v>
      </c>
      <c r="C69" s="67"/>
      <c r="D69" s="14">
        <f>D61</f>
        <v>597.57800000000009</v>
      </c>
    </row>
    <row r="70" spans="1:5" x14ac:dyDescent="0.2">
      <c r="A70" s="66" t="s">
        <v>16</v>
      </c>
      <c r="B70" s="66"/>
      <c r="C70" s="66"/>
      <c r="D70" s="19">
        <f>SUM(D67:D69)</f>
        <v>1853.7980000000002</v>
      </c>
    </row>
    <row r="71" spans="1:5" x14ac:dyDescent="0.2">
      <c r="A71" s="4"/>
      <c r="E71" s="18"/>
    </row>
    <row r="73" spans="1:5" x14ac:dyDescent="0.2">
      <c r="A73" s="72" t="s">
        <v>45</v>
      </c>
      <c r="B73" s="72"/>
      <c r="C73" s="72"/>
      <c r="D73" s="72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8" t="s">
        <v>46</v>
      </c>
      <c r="C75" s="78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TRUNC(((1/12)*5%),4)*0</f>
        <v>0</v>
      </c>
      <c r="D76" s="13">
        <f>TRUNC($D$26*C76,2)</f>
        <v>0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</v>
      </c>
    </row>
    <row r="78" spans="1:5" x14ac:dyDescent="0.2">
      <c r="A78" s="32" t="s">
        <v>8</v>
      </c>
      <c r="B78" s="10" t="s">
        <v>98</v>
      </c>
      <c r="C78" s="9">
        <f>TRUNC(8%*5%*40%,4)*0</f>
        <v>0</v>
      </c>
      <c r="D78" s="13">
        <f>TRUNC($D$26*C78,2)</f>
        <v>0</v>
      </c>
    </row>
    <row r="79" spans="1:5" x14ac:dyDescent="0.2">
      <c r="A79" s="32" t="s">
        <v>10</v>
      </c>
      <c r="B79" s="10" t="s">
        <v>49</v>
      </c>
      <c r="C79" s="9">
        <f>TRUNC(((7/30)/12)*95%,4)*0</f>
        <v>0</v>
      </c>
      <c r="D79" s="13">
        <f>TRUNC($D$26*C79,2)</f>
        <v>0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0</v>
      </c>
    </row>
    <row r="81" spans="1:4" x14ac:dyDescent="0.2">
      <c r="A81" s="32" t="s">
        <v>32</v>
      </c>
      <c r="B81" s="10" t="s">
        <v>99</v>
      </c>
      <c r="C81" s="9">
        <f>TRUNC(8%*95%*40%,4)*0</f>
        <v>0</v>
      </c>
      <c r="D81" s="13">
        <f t="shared" ref="D81" si="1">TRUNC($D$26*C81,2)</f>
        <v>0</v>
      </c>
    </row>
    <row r="82" spans="1:4" x14ac:dyDescent="0.2">
      <c r="A82" s="76" t="s">
        <v>16</v>
      </c>
      <c r="B82" s="77"/>
      <c r="C82" s="80"/>
      <c r="D82" s="19">
        <f>SUM(D76:D81)</f>
        <v>0</v>
      </c>
    </row>
    <row r="85" spans="1:4" x14ac:dyDescent="0.2">
      <c r="A85" s="72" t="s">
        <v>50</v>
      </c>
      <c r="B85" s="72"/>
      <c r="C85" s="72"/>
      <c r="D85" s="72"/>
    </row>
    <row r="88" spans="1:4" x14ac:dyDescent="0.2">
      <c r="A88" s="79" t="s">
        <v>77</v>
      </c>
      <c r="B88" s="79"/>
      <c r="C88" s="79"/>
      <c r="D88" s="79"/>
    </row>
    <row r="89" spans="1:4" x14ac:dyDescent="0.2">
      <c r="A89" s="3"/>
    </row>
    <row r="90" spans="1:4" x14ac:dyDescent="0.2">
      <c r="A90" s="30" t="s">
        <v>51</v>
      </c>
      <c r="B90" s="78" t="s">
        <v>78</v>
      </c>
      <c r="C90" s="78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TRUNC(((1+1/3)/12)/12,4)*0</f>
        <v>0</v>
      </c>
      <c r="D91" s="13">
        <f>TRUNC(($D$26+$D$70+$D$82)*C91,2)</f>
        <v>0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21.09</v>
      </c>
    </row>
    <row r="93" spans="1:4" x14ac:dyDescent="0.2">
      <c r="A93" s="32" t="s">
        <v>8</v>
      </c>
      <c r="B93" s="29" t="s">
        <v>81</v>
      </c>
      <c r="C93" s="9">
        <f>TRUNC(((5/30)/12)*2%,4)*0</f>
        <v>0</v>
      </c>
      <c r="D93" s="13">
        <f t="shared" si="2"/>
        <v>0</v>
      </c>
    </row>
    <row r="94" spans="1:4" x14ac:dyDescent="0.2">
      <c r="A94" s="32" t="s">
        <v>10</v>
      </c>
      <c r="B94" s="29" t="s">
        <v>82</v>
      </c>
      <c r="C94" s="9">
        <f>TRUNC(((15/30)/12)*8%,4)*0</f>
        <v>0</v>
      </c>
      <c r="D94" s="13">
        <f t="shared" si="2"/>
        <v>0</v>
      </c>
    </row>
    <row r="95" spans="1:4" x14ac:dyDescent="0.2">
      <c r="A95" s="32" t="s">
        <v>12</v>
      </c>
      <c r="B95" s="29" t="s">
        <v>83</v>
      </c>
      <c r="C95" s="9">
        <f>((1+1/3)/12)*3%*(4/12)*0</f>
        <v>0</v>
      </c>
      <c r="D95" s="13">
        <f t="shared" si="2"/>
        <v>0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66" t="s">
        <v>37</v>
      </c>
      <c r="B97" s="66"/>
      <c r="C97" s="66"/>
      <c r="D97" s="19">
        <f>SUM(D91:D96)</f>
        <v>21.09</v>
      </c>
      <c r="E97" s="17"/>
      <c r="F97" s="17"/>
    </row>
    <row r="100" spans="1:6" x14ac:dyDescent="0.2">
      <c r="A100" s="79" t="s">
        <v>85</v>
      </c>
      <c r="B100" s="79"/>
      <c r="C100" s="79"/>
      <c r="D100" s="79"/>
    </row>
    <row r="101" spans="1:6" x14ac:dyDescent="0.2">
      <c r="A101" s="3"/>
    </row>
    <row r="102" spans="1:6" x14ac:dyDescent="0.2">
      <c r="A102" s="30" t="s">
        <v>52</v>
      </c>
      <c r="B102" s="78" t="s">
        <v>86</v>
      </c>
      <c r="C102" s="78"/>
      <c r="D102" s="30" t="s">
        <v>3</v>
      </c>
    </row>
    <row r="103" spans="1:6" x14ac:dyDescent="0.2">
      <c r="A103" s="32" t="s">
        <v>4</v>
      </c>
      <c r="B103" s="73" t="s">
        <v>87</v>
      </c>
      <c r="C103" s="74"/>
      <c r="D103" s="13">
        <f>((D26+D70+D82)/220)*22*0</f>
        <v>0</v>
      </c>
    </row>
    <row r="104" spans="1:6" x14ac:dyDescent="0.2">
      <c r="A104" s="66" t="s">
        <v>16</v>
      </c>
      <c r="B104" s="66"/>
      <c r="C104" s="66"/>
      <c r="D104" s="19">
        <f>SUM(D103)</f>
        <v>0</v>
      </c>
    </row>
    <row r="107" spans="1:6" x14ac:dyDescent="0.2">
      <c r="A107" s="79" t="s">
        <v>53</v>
      </c>
      <c r="B107" s="79"/>
      <c r="C107" s="79"/>
      <c r="D107" s="79"/>
    </row>
    <row r="108" spans="1:6" x14ac:dyDescent="0.2">
      <c r="A108" s="3"/>
    </row>
    <row r="109" spans="1:6" x14ac:dyDescent="0.2">
      <c r="A109" s="30">
        <v>4</v>
      </c>
      <c r="B109" s="66" t="s">
        <v>54</v>
      </c>
      <c r="C109" s="66"/>
      <c r="D109" s="30" t="s">
        <v>3</v>
      </c>
    </row>
    <row r="110" spans="1:6" x14ac:dyDescent="0.2">
      <c r="A110" s="32" t="s">
        <v>51</v>
      </c>
      <c r="B110" s="67" t="s">
        <v>78</v>
      </c>
      <c r="C110" s="67"/>
      <c r="D110" s="14">
        <f>D97</f>
        <v>21.09</v>
      </c>
    </row>
    <row r="111" spans="1:6" x14ac:dyDescent="0.2">
      <c r="A111" s="32" t="s">
        <v>52</v>
      </c>
      <c r="B111" s="67" t="s">
        <v>86</v>
      </c>
      <c r="C111" s="67"/>
      <c r="D111" s="14">
        <f>D104</f>
        <v>0</v>
      </c>
    </row>
    <row r="112" spans="1:6" x14ac:dyDescent="0.2">
      <c r="A112" s="66" t="s">
        <v>16</v>
      </c>
      <c r="B112" s="66"/>
      <c r="C112" s="66"/>
      <c r="D112" s="19">
        <f>SUM(D110:D111)</f>
        <v>21.09</v>
      </c>
    </row>
    <row r="115" spans="1:4" x14ac:dyDescent="0.2">
      <c r="A115" s="72" t="s">
        <v>55</v>
      </c>
      <c r="B115" s="72"/>
      <c r="C115" s="72"/>
      <c r="D115" s="72"/>
    </row>
    <row r="117" spans="1:4" x14ac:dyDescent="0.2">
      <c r="A117" s="30">
        <v>5</v>
      </c>
      <c r="B117" s="75" t="s">
        <v>56</v>
      </c>
      <c r="C117" s="75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f>ROUND(257.25/12*(365/61),2)</f>
        <v>128.27000000000001</v>
      </c>
    </row>
    <row r="119" spans="1:4" x14ac:dyDescent="0.2">
      <c r="A119" s="32" t="s">
        <v>6</v>
      </c>
      <c r="B119" s="29" t="s">
        <v>58</v>
      </c>
      <c r="C119" s="29"/>
      <c r="D119" s="13"/>
    </row>
    <row r="120" spans="1:4" x14ac:dyDescent="0.2">
      <c r="A120" s="32" t="s">
        <v>8</v>
      </c>
      <c r="B120" s="29" t="s">
        <v>59</v>
      </c>
      <c r="C120" s="29"/>
      <c r="D120" s="13"/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66" t="s">
        <v>37</v>
      </c>
      <c r="B122" s="66"/>
      <c r="C122" s="66"/>
      <c r="D122" s="20">
        <f>SUM(D118:D121)</f>
        <v>128.27000000000001</v>
      </c>
    </row>
    <row r="125" spans="1:4" x14ac:dyDescent="0.2">
      <c r="A125" s="72" t="s">
        <v>60</v>
      </c>
      <c r="B125" s="72"/>
      <c r="C125" s="72"/>
      <c r="D125" s="72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0.05</v>
      </c>
      <c r="D128" s="14">
        <f>D148*C128</f>
        <v>199.24290000000005</v>
      </c>
    </row>
    <row r="129" spans="1:4" x14ac:dyDescent="0.2">
      <c r="A129" s="32" t="s">
        <v>6</v>
      </c>
      <c r="B129" s="29" t="s">
        <v>63</v>
      </c>
      <c r="C129" s="9">
        <v>0.06</v>
      </c>
      <c r="D129" s="13">
        <f>(D148+D128)*C129</f>
        <v>251.04605400000003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419.96739082758626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31.558214999999997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145.65329999999997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242.75549999999998</v>
      </c>
    </row>
    <row r="137" spans="1:4" ht="13.5" x14ac:dyDescent="0.2">
      <c r="A137" s="76" t="s">
        <v>37</v>
      </c>
      <c r="B137" s="77"/>
      <c r="C137" s="21">
        <f>(1+C129)*(1+C128)/(1-C130)-1</f>
        <v>0.21839080459770144</v>
      </c>
      <c r="D137" s="19">
        <f>SUM(D128:D130)</f>
        <v>870.25634482758642</v>
      </c>
    </row>
    <row r="140" spans="1:4" x14ac:dyDescent="0.2">
      <c r="A140" s="72" t="s">
        <v>68</v>
      </c>
      <c r="B140" s="72"/>
      <c r="C140" s="72"/>
      <c r="D140" s="72"/>
    </row>
    <row r="142" spans="1:4" x14ac:dyDescent="0.2">
      <c r="A142" s="30"/>
      <c r="B142" s="66" t="s">
        <v>69</v>
      </c>
      <c r="C142" s="66"/>
      <c r="D142" s="30" t="s">
        <v>3</v>
      </c>
    </row>
    <row r="143" spans="1:4" x14ac:dyDescent="0.2">
      <c r="A143" s="30" t="s">
        <v>4</v>
      </c>
      <c r="B143" s="67" t="s">
        <v>1</v>
      </c>
      <c r="C143" s="67"/>
      <c r="D143" s="22">
        <f>D26</f>
        <v>1981.7</v>
      </c>
    </row>
    <row r="144" spans="1:4" x14ac:dyDescent="0.2">
      <c r="A144" s="30" t="s">
        <v>6</v>
      </c>
      <c r="B144" s="67" t="s">
        <v>17</v>
      </c>
      <c r="C144" s="67"/>
      <c r="D144" s="22">
        <f>D70</f>
        <v>1853.7980000000002</v>
      </c>
    </row>
    <row r="145" spans="1:4" x14ac:dyDescent="0.2">
      <c r="A145" s="30" t="s">
        <v>8</v>
      </c>
      <c r="B145" s="67" t="s">
        <v>45</v>
      </c>
      <c r="C145" s="67"/>
      <c r="D145" s="22">
        <f>D82</f>
        <v>0</v>
      </c>
    </row>
    <row r="146" spans="1:4" x14ac:dyDescent="0.2">
      <c r="A146" s="30" t="s">
        <v>10</v>
      </c>
      <c r="B146" s="67" t="s">
        <v>50</v>
      </c>
      <c r="C146" s="67"/>
      <c r="D146" s="22">
        <f>D112</f>
        <v>21.09</v>
      </c>
    </row>
    <row r="147" spans="1:4" x14ac:dyDescent="0.2">
      <c r="A147" s="30" t="s">
        <v>12</v>
      </c>
      <c r="B147" s="67" t="s">
        <v>55</v>
      </c>
      <c r="C147" s="67"/>
      <c r="D147" s="22">
        <f>D122</f>
        <v>128.27000000000001</v>
      </c>
    </row>
    <row r="148" spans="1:4" x14ac:dyDescent="0.2">
      <c r="A148" s="66" t="s">
        <v>94</v>
      </c>
      <c r="B148" s="66"/>
      <c r="C148" s="66"/>
      <c r="D148" s="23">
        <f>SUM(D143:D147)</f>
        <v>3984.8580000000006</v>
      </c>
    </row>
    <row r="149" spans="1:4" x14ac:dyDescent="0.2">
      <c r="A149" s="30" t="s">
        <v>32</v>
      </c>
      <c r="B149" s="67" t="s">
        <v>70</v>
      </c>
      <c r="C149" s="67"/>
      <c r="D149" s="24">
        <f>D137</f>
        <v>870.25634482758642</v>
      </c>
    </row>
    <row r="150" spans="1:4" x14ac:dyDescent="0.2">
      <c r="A150" s="66" t="s">
        <v>71</v>
      </c>
      <c r="B150" s="66"/>
      <c r="C150" s="66"/>
      <c r="D150" s="23">
        <f>ROUND(SUM(D148:D149),2)</f>
        <v>4855.1099999999997</v>
      </c>
    </row>
  </sheetData>
  <mergeCells count="71">
    <mergeCell ref="B146:C146"/>
    <mergeCell ref="B147:C147"/>
    <mergeCell ref="A148:C148"/>
    <mergeCell ref="B149:C149"/>
    <mergeCell ref="A150:C150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C10:D10"/>
    <mergeCell ref="A1:D1"/>
    <mergeCell ref="A3:D3"/>
    <mergeCell ref="A5:B5"/>
    <mergeCell ref="A6:B6"/>
    <mergeCell ref="A8:D8"/>
  </mergeCells>
  <pageMargins left="0.51181102362204722" right="0.51181102362204722" top="1.102362204724409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topLeftCell="A95" zoomScaleNormal="115" zoomScaleSheetLayoutView="100" workbookViewId="0">
      <selection activeCell="D119" sqref="D119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1" t="s">
        <v>0</v>
      </c>
      <c r="B1" s="81"/>
      <c r="C1" s="81"/>
      <c r="D1" s="81"/>
    </row>
    <row r="2" spans="1:4" ht="15.75" x14ac:dyDescent="0.25">
      <c r="A2" s="26"/>
      <c r="B2" s="26"/>
      <c r="C2" s="26"/>
      <c r="D2" s="26"/>
    </row>
    <row r="3" spans="1:4" x14ac:dyDescent="0.2">
      <c r="A3" s="71" t="s">
        <v>88</v>
      </c>
      <c r="B3" s="71"/>
      <c r="C3" s="71"/>
      <c r="D3" s="71"/>
    </row>
    <row r="4" spans="1:4" x14ac:dyDescent="0.2">
      <c r="A4" s="2"/>
      <c r="B4" s="2"/>
      <c r="C4" s="2"/>
      <c r="D4" s="2"/>
    </row>
    <row r="5" spans="1:4" ht="38.25" x14ac:dyDescent="0.2">
      <c r="A5" s="83" t="s">
        <v>89</v>
      </c>
      <c r="B5" s="83"/>
      <c r="C5" s="32" t="s">
        <v>90</v>
      </c>
      <c r="D5" s="27" t="s">
        <v>91</v>
      </c>
    </row>
    <row r="6" spans="1:4" x14ac:dyDescent="0.2">
      <c r="A6" s="63" t="s">
        <v>113</v>
      </c>
      <c r="B6" s="63"/>
      <c r="C6" s="33" t="s">
        <v>100</v>
      </c>
      <c r="D6" s="33">
        <v>2</v>
      </c>
    </row>
    <row r="8" spans="1:4" x14ac:dyDescent="0.2">
      <c r="A8" s="71" t="s">
        <v>72</v>
      </c>
      <c r="B8" s="71"/>
      <c r="C8" s="71"/>
      <c r="D8" s="71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64" t="s">
        <v>111</v>
      </c>
      <c r="D10" s="65"/>
    </row>
    <row r="11" spans="1:4" x14ac:dyDescent="0.2">
      <c r="A11" s="5">
        <v>2</v>
      </c>
      <c r="B11" s="5" t="s">
        <v>92</v>
      </c>
      <c r="C11" s="64" t="s">
        <v>112</v>
      </c>
      <c r="D11" s="65"/>
    </row>
    <row r="12" spans="1:4" x14ac:dyDescent="0.2">
      <c r="A12" s="5">
        <v>3</v>
      </c>
      <c r="B12" s="5" t="s">
        <v>74</v>
      </c>
      <c r="C12" s="68">
        <v>1676.83</v>
      </c>
      <c r="D12" s="69"/>
    </row>
    <row r="13" spans="1:4" x14ac:dyDescent="0.2">
      <c r="A13" s="5">
        <v>4</v>
      </c>
      <c r="B13" s="5" t="s">
        <v>75</v>
      </c>
      <c r="C13" s="64" t="s">
        <v>101</v>
      </c>
      <c r="D13" s="65"/>
    </row>
    <row r="14" spans="1:4" x14ac:dyDescent="0.2">
      <c r="A14" s="5">
        <v>5</v>
      </c>
      <c r="B14" s="5" t="s">
        <v>76</v>
      </c>
      <c r="C14" s="70">
        <v>45657</v>
      </c>
      <c r="D14" s="65"/>
    </row>
    <row r="16" spans="1:4" x14ac:dyDescent="0.2">
      <c r="A16" s="71" t="s">
        <v>1</v>
      </c>
      <c r="B16" s="71"/>
      <c r="C16" s="71"/>
      <c r="D16" s="71"/>
    </row>
    <row r="18" spans="1:4" x14ac:dyDescent="0.2">
      <c r="A18" s="30">
        <v>1</v>
      </c>
      <c r="B18" s="66" t="s">
        <v>2</v>
      </c>
      <c r="C18" s="66"/>
      <c r="D18" s="30" t="s">
        <v>3</v>
      </c>
    </row>
    <row r="19" spans="1:4" x14ac:dyDescent="0.2">
      <c r="A19" s="32" t="s">
        <v>4</v>
      </c>
      <c r="B19" s="67" t="s">
        <v>5</v>
      </c>
      <c r="C19" s="67"/>
      <c r="D19" s="13">
        <v>1676.83</v>
      </c>
    </row>
    <row r="20" spans="1:4" x14ac:dyDescent="0.2">
      <c r="A20" s="32" t="s">
        <v>6</v>
      </c>
      <c r="B20" s="67" t="s">
        <v>7</v>
      </c>
      <c r="C20" s="67"/>
      <c r="D20" s="13"/>
    </row>
    <row r="21" spans="1:4" x14ac:dyDescent="0.2">
      <c r="A21" s="32" t="s">
        <v>8</v>
      </c>
      <c r="B21" s="67" t="s">
        <v>9</v>
      </c>
      <c r="C21" s="67"/>
      <c r="D21" s="13"/>
    </row>
    <row r="22" spans="1:4" x14ac:dyDescent="0.2">
      <c r="A22" s="32" t="s">
        <v>10</v>
      </c>
      <c r="B22" s="67" t="s">
        <v>11</v>
      </c>
      <c r="C22" s="67"/>
      <c r="D22" s="13"/>
    </row>
    <row r="23" spans="1:4" x14ac:dyDescent="0.2">
      <c r="A23" s="32" t="s">
        <v>12</v>
      </c>
      <c r="B23" s="67" t="s">
        <v>13</v>
      </c>
      <c r="C23" s="67"/>
      <c r="D23" s="13"/>
    </row>
    <row r="24" spans="1:4" x14ac:dyDescent="0.2">
      <c r="A24" s="32"/>
      <c r="B24" s="67"/>
      <c r="C24" s="67"/>
      <c r="D24" s="13"/>
    </row>
    <row r="25" spans="1:4" x14ac:dyDescent="0.2">
      <c r="A25" s="32" t="s">
        <v>14</v>
      </c>
      <c r="B25" s="67" t="s">
        <v>15</v>
      </c>
      <c r="C25" s="67"/>
      <c r="D25" s="13"/>
    </row>
    <row r="26" spans="1:4" x14ac:dyDescent="0.2">
      <c r="A26" s="66" t="s">
        <v>16</v>
      </c>
      <c r="B26" s="66"/>
      <c r="C26" s="66"/>
      <c r="D26" s="20">
        <f>SUM(D19:D25)</f>
        <v>1676.83</v>
      </c>
    </row>
    <row r="29" spans="1:4" x14ac:dyDescent="0.2">
      <c r="A29" s="72" t="s">
        <v>17</v>
      </c>
      <c r="B29" s="72"/>
      <c r="C29" s="72"/>
      <c r="D29" s="72"/>
    </row>
    <row r="30" spans="1:4" x14ac:dyDescent="0.2">
      <c r="A30" s="3"/>
    </row>
    <row r="31" spans="1:4" x14ac:dyDescent="0.2">
      <c r="A31" s="79" t="s">
        <v>18</v>
      </c>
      <c r="B31" s="79"/>
      <c r="C31" s="79"/>
      <c r="D31" s="79"/>
    </row>
    <row r="33" spans="1:4" x14ac:dyDescent="0.2">
      <c r="A33" s="30" t="s">
        <v>19</v>
      </c>
      <c r="B33" s="66" t="s">
        <v>20</v>
      </c>
      <c r="C33" s="66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139.66999999999999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186.29</v>
      </c>
    </row>
    <row r="36" spans="1:4" x14ac:dyDescent="0.2">
      <c r="A36" s="66" t="s">
        <v>16</v>
      </c>
      <c r="B36" s="66"/>
      <c r="C36" s="28">
        <f>SUM(C34:C35)</f>
        <v>0.19440000000000002</v>
      </c>
      <c r="D36" s="19">
        <f>SUM(D34:D35)</f>
        <v>325.95999999999998</v>
      </c>
    </row>
    <row r="39" spans="1:4" x14ac:dyDescent="0.2">
      <c r="A39" s="82" t="s">
        <v>23</v>
      </c>
      <c r="B39" s="82"/>
      <c r="C39" s="82"/>
      <c r="D39" s="82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400.55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50.06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60.08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30.04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20.02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12.01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4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160.22</v>
      </c>
    </row>
    <row r="50" spans="1:4" x14ac:dyDescent="0.2">
      <c r="A50" s="66" t="s">
        <v>37</v>
      </c>
      <c r="B50" s="66"/>
      <c r="C50" s="15">
        <f>SUM(C42:C49)</f>
        <v>0.36800000000000005</v>
      </c>
      <c r="D50" s="19">
        <f>SUM(D42:D49)</f>
        <v>736.98</v>
      </c>
    </row>
    <row r="53" spans="1:4" x14ac:dyDescent="0.2">
      <c r="A53" s="79" t="s">
        <v>38</v>
      </c>
      <c r="B53" s="79"/>
      <c r="C53" s="79"/>
      <c r="D53" s="79"/>
    </row>
    <row r="55" spans="1:4" x14ac:dyDescent="0.2">
      <c r="A55" s="30" t="s">
        <v>39</v>
      </c>
      <c r="B55" s="78" t="s">
        <v>40</v>
      </c>
      <c r="C55" s="78"/>
      <c r="D55" s="30" t="s">
        <v>3</v>
      </c>
    </row>
    <row r="56" spans="1:4" x14ac:dyDescent="0.2">
      <c r="A56" s="32" t="s">
        <v>4</v>
      </c>
      <c r="B56" s="67" t="s">
        <v>41</v>
      </c>
      <c r="C56" s="67"/>
      <c r="D56" s="13">
        <f>IF((22*2*5.2)-(D19*0.06)&gt;0,(22*2*5.2)-(D19*0.06),0)</f>
        <v>128.1902</v>
      </c>
    </row>
    <row r="57" spans="1:4" x14ac:dyDescent="0.2">
      <c r="A57" s="32" t="s">
        <v>6</v>
      </c>
      <c r="B57" s="67" t="s">
        <v>42</v>
      </c>
      <c r="C57" s="67"/>
      <c r="D57" s="13">
        <f>17*0.8*22</f>
        <v>299.20000000000005</v>
      </c>
    </row>
    <row r="58" spans="1:4" x14ac:dyDescent="0.2">
      <c r="A58" s="32" t="s">
        <v>8</v>
      </c>
      <c r="B58" s="67" t="s">
        <v>103</v>
      </c>
      <c r="C58" s="67"/>
      <c r="D58" s="13">
        <v>170</v>
      </c>
    </row>
    <row r="59" spans="1:4" x14ac:dyDescent="0.2">
      <c r="A59" s="32" t="s">
        <v>10</v>
      </c>
      <c r="B59" s="67" t="s">
        <v>104</v>
      </c>
      <c r="C59" s="67"/>
      <c r="D59" s="13">
        <v>14</v>
      </c>
    </row>
    <row r="60" spans="1:4" x14ac:dyDescent="0.2">
      <c r="A60" s="32" t="s">
        <v>10</v>
      </c>
      <c r="B60" s="67" t="s">
        <v>105</v>
      </c>
      <c r="C60" s="67"/>
      <c r="D60" s="13">
        <v>4.4800000000000004</v>
      </c>
    </row>
    <row r="61" spans="1:4" x14ac:dyDescent="0.2">
      <c r="A61" s="66" t="s">
        <v>16</v>
      </c>
      <c r="B61" s="66"/>
      <c r="C61" s="66"/>
      <c r="D61" s="19">
        <f>SUM(D56:D60)</f>
        <v>615.87020000000007</v>
      </c>
    </row>
    <row r="64" spans="1:4" x14ac:dyDescent="0.2">
      <c r="A64" s="79" t="s">
        <v>43</v>
      </c>
      <c r="B64" s="79"/>
      <c r="C64" s="79"/>
      <c r="D64" s="79"/>
    </row>
    <row r="66" spans="1:5" x14ac:dyDescent="0.2">
      <c r="A66" s="30">
        <v>2</v>
      </c>
      <c r="B66" s="78" t="s">
        <v>44</v>
      </c>
      <c r="C66" s="78"/>
      <c r="D66" s="30" t="s">
        <v>3</v>
      </c>
    </row>
    <row r="67" spans="1:5" x14ac:dyDescent="0.2">
      <c r="A67" s="32" t="s">
        <v>19</v>
      </c>
      <c r="B67" s="67" t="s">
        <v>20</v>
      </c>
      <c r="C67" s="67"/>
      <c r="D67" s="14">
        <f>D36</f>
        <v>325.95999999999998</v>
      </c>
    </row>
    <row r="68" spans="1:5" x14ac:dyDescent="0.2">
      <c r="A68" s="32" t="s">
        <v>24</v>
      </c>
      <c r="B68" s="67" t="s">
        <v>25</v>
      </c>
      <c r="C68" s="67"/>
      <c r="D68" s="14">
        <f>D50</f>
        <v>736.98</v>
      </c>
    </row>
    <row r="69" spans="1:5" x14ac:dyDescent="0.2">
      <c r="A69" s="32" t="s">
        <v>39</v>
      </c>
      <c r="B69" s="67" t="s">
        <v>40</v>
      </c>
      <c r="C69" s="67"/>
      <c r="D69" s="14">
        <f>D61</f>
        <v>615.87020000000007</v>
      </c>
    </row>
    <row r="70" spans="1:5" x14ac:dyDescent="0.2">
      <c r="A70" s="66" t="s">
        <v>16</v>
      </c>
      <c r="B70" s="66"/>
      <c r="C70" s="66"/>
      <c r="D70" s="19">
        <f>SUM(D67:D69)</f>
        <v>1678.8102000000001</v>
      </c>
    </row>
    <row r="71" spans="1:5" x14ac:dyDescent="0.2">
      <c r="A71" s="4"/>
      <c r="E71" s="18"/>
    </row>
    <row r="73" spans="1:5" x14ac:dyDescent="0.2">
      <c r="A73" s="72" t="s">
        <v>45</v>
      </c>
      <c r="B73" s="72"/>
      <c r="C73" s="72"/>
      <c r="D73" s="72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8" t="s">
        <v>46</v>
      </c>
      <c r="C75" s="78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TRUNC(((1/12)*5%),4)*0</f>
        <v>0</v>
      </c>
      <c r="D76" s="13">
        <f>TRUNC($D$26*C76,2)</f>
        <v>0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</v>
      </c>
    </row>
    <row r="78" spans="1:5" x14ac:dyDescent="0.2">
      <c r="A78" s="32" t="s">
        <v>8</v>
      </c>
      <c r="B78" s="10" t="s">
        <v>98</v>
      </c>
      <c r="C78" s="9">
        <f>TRUNC(8%*5%*40%,4)*0</f>
        <v>0</v>
      </c>
      <c r="D78" s="13">
        <f>TRUNC($D$26*C78,2)</f>
        <v>0</v>
      </c>
    </row>
    <row r="79" spans="1:5" x14ac:dyDescent="0.2">
      <c r="A79" s="32" t="s">
        <v>10</v>
      </c>
      <c r="B79" s="10" t="s">
        <v>49</v>
      </c>
      <c r="C79" s="9">
        <f>TRUNC(((7/30)/12)*95%,4)*0</f>
        <v>0</v>
      </c>
      <c r="D79" s="13">
        <f>TRUNC($D$26*C79,2)</f>
        <v>0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0</v>
      </c>
    </row>
    <row r="81" spans="1:4" x14ac:dyDescent="0.2">
      <c r="A81" s="32" t="s">
        <v>32</v>
      </c>
      <c r="B81" s="10" t="s">
        <v>99</v>
      </c>
      <c r="C81" s="9">
        <f>TRUNC(8%*95%*40%,4)*0</f>
        <v>0</v>
      </c>
      <c r="D81" s="13">
        <f t="shared" ref="D81" si="1">TRUNC($D$26*C81,2)</f>
        <v>0</v>
      </c>
    </row>
    <row r="82" spans="1:4" x14ac:dyDescent="0.2">
      <c r="A82" s="76" t="s">
        <v>16</v>
      </c>
      <c r="B82" s="77"/>
      <c r="C82" s="80"/>
      <c r="D82" s="19">
        <f>SUM(D76:D81)</f>
        <v>0</v>
      </c>
    </row>
    <row r="85" spans="1:4" x14ac:dyDescent="0.2">
      <c r="A85" s="72" t="s">
        <v>50</v>
      </c>
      <c r="B85" s="72"/>
      <c r="C85" s="72"/>
      <c r="D85" s="72"/>
    </row>
    <row r="88" spans="1:4" x14ac:dyDescent="0.2">
      <c r="A88" s="79" t="s">
        <v>77</v>
      </c>
      <c r="B88" s="79"/>
      <c r="C88" s="79"/>
      <c r="D88" s="79"/>
    </row>
    <row r="89" spans="1:4" x14ac:dyDescent="0.2">
      <c r="A89" s="3"/>
    </row>
    <row r="90" spans="1:4" x14ac:dyDescent="0.2">
      <c r="A90" s="30" t="s">
        <v>51</v>
      </c>
      <c r="B90" s="78" t="s">
        <v>78</v>
      </c>
      <c r="C90" s="78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TRUNC(((1+1/3)/12)/12,4)*0</f>
        <v>0</v>
      </c>
      <c r="D91" s="13">
        <f>TRUNC(($D$26+$D$70+$D$82)*C91,2)</f>
        <v>0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18.45</v>
      </c>
    </row>
    <row r="93" spans="1:4" x14ac:dyDescent="0.2">
      <c r="A93" s="32" t="s">
        <v>8</v>
      </c>
      <c r="B93" s="29" t="s">
        <v>81</v>
      </c>
      <c r="C93" s="9">
        <f>TRUNC(((5/30)/12)*2%,4)*0</f>
        <v>0</v>
      </c>
      <c r="D93" s="13">
        <f t="shared" si="2"/>
        <v>0</v>
      </c>
    </row>
    <row r="94" spans="1:4" x14ac:dyDescent="0.2">
      <c r="A94" s="32" t="s">
        <v>10</v>
      </c>
      <c r="B94" s="29" t="s">
        <v>82</v>
      </c>
      <c r="C94" s="9">
        <f>TRUNC(((15/30)/12)*8%,4)*0</f>
        <v>0</v>
      </c>
      <c r="D94" s="13">
        <f t="shared" si="2"/>
        <v>0</v>
      </c>
    </row>
    <row r="95" spans="1:4" x14ac:dyDescent="0.2">
      <c r="A95" s="32" t="s">
        <v>12</v>
      </c>
      <c r="B95" s="29" t="s">
        <v>83</v>
      </c>
      <c r="C95" s="9">
        <f>((1+1/3)/12)*3%*(4/12)*0</f>
        <v>0</v>
      </c>
      <c r="D95" s="13">
        <f t="shared" si="2"/>
        <v>0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66" t="s">
        <v>37</v>
      </c>
      <c r="B97" s="66"/>
      <c r="C97" s="66"/>
      <c r="D97" s="19">
        <f>SUM(D91:D96)</f>
        <v>18.45</v>
      </c>
      <c r="E97" s="17"/>
      <c r="F97" s="17"/>
    </row>
    <row r="100" spans="1:6" x14ac:dyDescent="0.2">
      <c r="A100" s="79" t="s">
        <v>85</v>
      </c>
      <c r="B100" s="79"/>
      <c r="C100" s="79"/>
      <c r="D100" s="79"/>
    </row>
    <row r="101" spans="1:6" x14ac:dyDescent="0.2">
      <c r="A101" s="3"/>
    </row>
    <row r="102" spans="1:6" x14ac:dyDescent="0.2">
      <c r="A102" s="30" t="s">
        <v>52</v>
      </c>
      <c r="B102" s="78" t="s">
        <v>86</v>
      </c>
      <c r="C102" s="78"/>
      <c r="D102" s="30" t="s">
        <v>3</v>
      </c>
    </row>
    <row r="103" spans="1:6" x14ac:dyDescent="0.2">
      <c r="A103" s="32" t="s">
        <v>4</v>
      </c>
      <c r="B103" s="73" t="s">
        <v>87</v>
      </c>
      <c r="C103" s="74"/>
      <c r="D103" s="13">
        <f>((D26+D70+D82)/220)*22*0</f>
        <v>0</v>
      </c>
    </row>
    <row r="104" spans="1:6" x14ac:dyDescent="0.2">
      <c r="A104" s="66" t="s">
        <v>16</v>
      </c>
      <c r="B104" s="66"/>
      <c r="C104" s="66"/>
      <c r="D104" s="19">
        <f>SUM(D103)</f>
        <v>0</v>
      </c>
    </row>
    <row r="107" spans="1:6" x14ac:dyDescent="0.2">
      <c r="A107" s="79" t="s">
        <v>53</v>
      </c>
      <c r="B107" s="79"/>
      <c r="C107" s="79"/>
      <c r="D107" s="79"/>
    </row>
    <row r="108" spans="1:6" x14ac:dyDescent="0.2">
      <c r="A108" s="3"/>
    </row>
    <row r="109" spans="1:6" x14ac:dyDescent="0.2">
      <c r="A109" s="30">
        <v>4</v>
      </c>
      <c r="B109" s="66" t="s">
        <v>54</v>
      </c>
      <c r="C109" s="66"/>
      <c r="D109" s="30" t="s">
        <v>3</v>
      </c>
    </row>
    <row r="110" spans="1:6" x14ac:dyDescent="0.2">
      <c r="A110" s="32" t="s">
        <v>51</v>
      </c>
      <c r="B110" s="67" t="s">
        <v>78</v>
      </c>
      <c r="C110" s="67"/>
      <c r="D110" s="14">
        <f>D97</f>
        <v>18.45</v>
      </c>
    </row>
    <row r="111" spans="1:6" x14ac:dyDescent="0.2">
      <c r="A111" s="32" t="s">
        <v>52</v>
      </c>
      <c r="B111" s="67" t="s">
        <v>86</v>
      </c>
      <c r="C111" s="67"/>
      <c r="D111" s="14">
        <f>D104</f>
        <v>0</v>
      </c>
    </row>
    <row r="112" spans="1:6" x14ac:dyDescent="0.2">
      <c r="A112" s="66" t="s">
        <v>16</v>
      </c>
      <c r="B112" s="66"/>
      <c r="C112" s="66"/>
      <c r="D112" s="19">
        <f>SUM(D110:D111)</f>
        <v>18.45</v>
      </c>
    </row>
    <row r="115" spans="1:4" x14ac:dyDescent="0.2">
      <c r="A115" s="72" t="s">
        <v>55</v>
      </c>
      <c r="B115" s="72"/>
      <c r="C115" s="72"/>
      <c r="D115" s="72"/>
    </row>
    <row r="117" spans="1:4" x14ac:dyDescent="0.2">
      <c r="A117" s="30">
        <v>5</v>
      </c>
      <c r="B117" s="75" t="s">
        <v>56</v>
      </c>
      <c r="C117" s="75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f>ROUND(257.25/12*(365/61),2)</f>
        <v>128.27000000000001</v>
      </c>
    </row>
    <row r="119" spans="1:4" x14ac:dyDescent="0.2">
      <c r="A119" s="32" t="s">
        <v>6</v>
      </c>
      <c r="B119" s="29" t="s">
        <v>58</v>
      </c>
      <c r="C119" s="29"/>
      <c r="D119" s="13"/>
    </row>
    <row r="120" spans="1:4" x14ac:dyDescent="0.2">
      <c r="A120" s="32" t="s">
        <v>8</v>
      </c>
      <c r="B120" s="29" t="s">
        <v>59</v>
      </c>
      <c r="C120" s="29"/>
      <c r="D120" s="13"/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66" t="s">
        <v>37</v>
      </c>
      <c r="B122" s="66"/>
      <c r="C122" s="66"/>
      <c r="D122" s="20">
        <f>SUM(D118:D121)</f>
        <v>128.27000000000001</v>
      </c>
    </row>
    <row r="125" spans="1:4" x14ac:dyDescent="0.2">
      <c r="A125" s="72" t="s">
        <v>60</v>
      </c>
      <c r="B125" s="72"/>
      <c r="C125" s="72"/>
      <c r="D125" s="72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0.05</v>
      </c>
      <c r="D128" s="14">
        <f>D148*C128</f>
        <v>175.11801</v>
      </c>
    </row>
    <row r="129" spans="1:4" x14ac:dyDescent="0.2">
      <c r="A129" s="32" t="s">
        <v>6</v>
      </c>
      <c r="B129" s="29" t="s">
        <v>63</v>
      </c>
      <c r="C129" s="9">
        <v>0.06</v>
      </c>
      <c r="D129" s="13">
        <f>(D148+D128)*C129</f>
        <v>220.64869259999998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369.11655946896548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27.737059999999996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128.0172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213.36199999999999</v>
      </c>
    </row>
    <row r="137" spans="1:4" ht="13.5" x14ac:dyDescent="0.2">
      <c r="A137" s="76" t="s">
        <v>37</v>
      </c>
      <c r="B137" s="77"/>
      <c r="C137" s="21">
        <f>(1+C129)*(1+C128)/(1-C130)-1</f>
        <v>0.21839080459770144</v>
      </c>
      <c r="D137" s="19">
        <f>SUM(D128:D130)</f>
        <v>764.88326206896545</v>
      </c>
    </row>
    <row r="140" spans="1:4" x14ac:dyDescent="0.2">
      <c r="A140" s="72" t="s">
        <v>68</v>
      </c>
      <c r="B140" s="72"/>
      <c r="C140" s="72"/>
      <c r="D140" s="72"/>
    </row>
    <row r="142" spans="1:4" x14ac:dyDescent="0.2">
      <c r="A142" s="30"/>
      <c r="B142" s="66" t="s">
        <v>69</v>
      </c>
      <c r="C142" s="66"/>
      <c r="D142" s="30" t="s">
        <v>3</v>
      </c>
    </row>
    <row r="143" spans="1:4" x14ac:dyDescent="0.2">
      <c r="A143" s="30" t="s">
        <v>4</v>
      </c>
      <c r="B143" s="67" t="s">
        <v>1</v>
      </c>
      <c r="C143" s="67"/>
      <c r="D143" s="22">
        <f>D26</f>
        <v>1676.83</v>
      </c>
    </row>
    <row r="144" spans="1:4" x14ac:dyDescent="0.2">
      <c r="A144" s="30" t="s">
        <v>6</v>
      </c>
      <c r="B144" s="67" t="s">
        <v>17</v>
      </c>
      <c r="C144" s="67"/>
      <c r="D144" s="22">
        <f>D70</f>
        <v>1678.8102000000001</v>
      </c>
    </row>
    <row r="145" spans="1:4" x14ac:dyDescent="0.2">
      <c r="A145" s="30" t="s">
        <v>8</v>
      </c>
      <c r="B145" s="67" t="s">
        <v>45</v>
      </c>
      <c r="C145" s="67"/>
      <c r="D145" s="22">
        <f>D82</f>
        <v>0</v>
      </c>
    </row>
    <row r="146" spans="1:4" x14ac:dyDescent="0.2">
      <c r="A146" s="30" t="s">
        <v>10</v>
      </c>
      <c r="B146" s="67" t="s">
        <v>50</v>
      </c>
      <c r="C146" s="67"/>
      <c r="D146" s="22">
        <f>D112</f>
        <v>18.45</v>
      </c>
    </row>
    <row r="147" spans="1:4" x14ac:dyDescent="0.2">
      <c r="A147" s="30" t="s">
        <v>12</v>
      </c>
      <c r="B147" s="67" t="s">
        <v>55</v>
      </c>
      <c r="C147" s="67"/>
      <c r="D147" s="22">
        <f>D122</f>
        <v>128.27000000000001</v>
      </c>
    </row>
    <row r="148" spans="1:4" x14ac:dyDescent="0.2">
      <c r="A148" s="66" t="s">
        <v>94</v>
      </c>
      <c r="B148" s="66"/>
      <c r="C148" s="66"/>
      <c r="D148" s="23">
        <f>SUM(D143:D147)</f>
        <v>3502.3601999999996</v>
      </c>
    </row>
    <row r="149" spans="1:4" x14ac:dyDescent="0.2">
      <c r="A149" s="30" t="s">
        <v>32</v>
      </c>
      <c r="B149" s="67" t="s">
        <v>70</v>
      </c>
      <c r="C149" s="67"/>
      <c r="D149" s="24">
        <f>D137</f>
        <v>764.88326206896545</v>
      </c>
    </row>
    <row r="150" spans="1:4" x14ac:dyDescent="0.2">
      <c r="A150" s="66" t="s">
        <v>71</v>
      </c>
      <c r="B150" s="66"/>
      <c r="C150" s="66"/>
      <c r="D150" s="23">
        <f>ROUND(SUM(D148:D149),2)</f>
        <v>4267.24</v>
      </c>
    </row>
  </sheetData>
  <mergeCells count="71">
    <mergeCell ref="B146:C146"/>
    <mergeCell ref="B147:C147"/>
    <mergeCell ref="A148:C148"/>
    <mergeCell ref="B149:C149"/>
    <mergeCell ref="A150:C150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C10:D10"/>
    <mergeCell ref="A1:D1"/>
    <mergeCell ref="A3:D3"/>
    <mergeCell ref="A5:B5"/>
    <mergeCell ref="A6:B6"/>
    <mergeCell ref="A8:D8"/>
  </mergeCells>
  <pageMargins left="0.51181102362204722" right="0.51181102362204722" top="1.102362204724409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1</vt:i4>
      </vt:variant>
    </vt:vector>
  </HeadingPairs>
  <TitlesOfParts>
    <vt:vector size="14" baseType="lpstr">
      <vt:lpstr>atend</vt:lpstr>
      <vt:lpstr>atendlibras</vt:lpstr>
      <vt:lpstr>telef</vt:lpstr>
      <vt:lpstr>teleflibras</vt:lpstr>
      <vt:lpstr>super</vt:lpstr>
      <vt:lpstr>auxsuper</vt:lpstr>
      <vt:lpstr>atendtemp</vt:lpstr>
      <vt:lpstr>atendlibrastemp</vt:lpstr>
      <vt:lpstr>auxsupertemp</vt:lpstr>
      <vt:lpstr>teleftemp</vt:lpstr>
      <vt:lpstr>teleflibrastemp</vt:lpstr>
      <vt:lpstr>horaextra</vt:lpstr>
      <vt:lpstr>total</vt:lpstr>
      <vt:lpstr>horaextra!Titulos_de_impressao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2024-08-21T13:54:57Z</cp:lastPrinted>
  <dcterms:created xsi:type="dcterms:W3CDTF">2019-01-29T18:54:26Z</dcterms:created>
  <dcterms:modified xsi:type="dcterms:W3CDTF">2024-08-21T13:55:26Z</dcterms:modified>
</cp:coreProperties>
</file>