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9"/>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 name="Demonstração taxa TA" sheetId="31" r:id="rId29"/>
    <sheet name="Cálculo TA e Preço Estimado" sheetId="32" r:id="rId30"/>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F43" i="32" l="1"/>
  <c r="E22" i="32"/>
  <c r="F22" i="32" s="1"/>
  <c r="E34" i="32" s="1"/>
  <c r="G34" i="32" s="1"/>
  <c r="D22" i="32"/>
  <c r="E21" i="32"/>
  <c r="D21" i="32"/>
  <c r="F21" i="32" s="1"/>
  <c r="E33" i="32" s="1"/>
  <c r="G33" i="32" s="1"/>
  <c r="E20" i="32"/>
  <c r="D20" i="32"/>
  <c r="F20" i="32" s="1"/>
  <c r="E32" i="32" s="1"/>
  <c r="G32" i="32" s="1"/>
  <c r="E19" i="32"/>
  <c r="D19" i="32"/>
  <c r="F19" i="32" s="1"/>
  <c r="E31" i="32" s="1"/>
  <c r="G31" i="32" s="1"/>
  <c r="E18" i="32"/>
  <c r="D18" i="32"/>
  <c r="E17" i="32"/>
  <c r="D17" i="32"/>
  <c r="E16" i="32"/>
  <c r="D16" i="32"/>
  <c r="F16" i="32" s="1"/>
  <c r="E28" i="32" s="1"/>
  <c r="F11" i="32"/>
  <c r="E42" i="32" s="1"/>
  <c r="G42" i="32" s="1"/>
  <c r="F10" i="32"/>
  <c r="E41" i="32" s="1"/>
  <c r="G41" i="32" s="1"/>
  <c r="F9" i="32"/>
  <c r="E40" i="32" s="1"/>
  <c r="G40" i="32" s="1"/>
  <c r="F8" i="32"/>
  <c r="E39" i="32" s="1"/>
  <c r="G39" i="32" s="1"/>
  <c r="F7" i="32"/>
  <c r="E38" i="32" s="1"/>
  <c r="G38" i="32" s="1"/>
  <c r="F6" i="32"/>
  <c r="E37" i="32" s="1"/>
  <c r="G37" i="32" s="1"/>
  <c r="F5" i="32"/>
  <c r="E36" i="32" s="1"/>
  <c r="G36" i="32" s="1"/>
  <c r="F4" i="32"/>
  <c r="E35" i="32" s="1"/>
  <c r="G35" i="32" s="1"/>
  <c r="E4" i="31"/>
  <c r="F18" i="32" l="1"/>
  <c r="E30" i="32" s="1"/>
  <c r="G30" i="32" s="1"/>
  <c r="F17" i="32"/>
  <c r="E29" i="32" s="1"/>
  <c r="G29" i="32" s="1"/>
  <c r="E43" i="32"/>
  <c r="G28" i="32"/>
  <c r="G43" i="32" s="1"/>
  <c r="C3" i="23" l="1"/>
  <c r="D3" i="23"/>
  <c r="E3" i="23"/>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 r="F6" i="23" l="1"/>
</calcChain>
</file>

<file path=xl/sharedStrings.xml><?xml version="1.0" encoding="utf-8"?>
<sst xmlns="http://schemas.openxmlformats.org/spreadsheetml/2006/main" count="1094" uniqueCount="277">
  <si>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</si>
  <si>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</si>
  <si>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</si>
  <si>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</si>
  <si>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</si>
  <si>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</si>
  <si>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</si>
  <si>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</si>
  <si>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</si>
  <si>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</si>
  <si>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</si>
  <si>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</si>
  <si>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</si>
  <si>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</si>
  <si>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</si>
  <si>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</si>
  <si>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</si>
  <si>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</si>
  <si>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</si>
  <si>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</si>
  <si>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</si>
  <si>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</si>
  <si>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</si>
  <si>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</si>
  <si>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</si>
  <si>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</si>
  <si>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</si>
  <si>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</si>
  <si>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</si>
  <si>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</si>
  <si>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</si>
  <si>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</si>
  <si>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</si>
  <si>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</si>
  <si>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</si>
  <si>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</si>
  <si>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</si>
  <si>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</si>
  <si>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</si>
  <si>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</si>
  <si>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</si>
  <si>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</si>
  <si>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</si>
  <si>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</si>
  <si>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</si>
  <si>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</si>
  <si>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</si>
  <si>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</si>
  <si>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</si>
  <si>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</si>
  <si>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</si>
  <si>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</si>
  <si>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</si>
  <si>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</si>
  <si>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</si>
  <si>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</si>
  <si>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</si>
  <si>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</si>
  <si>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</si>
  <si>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</si>
  <si>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</si>
  <si>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</si>
  <si>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</si>
  <si>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</si>
  <si>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</si>
  <si>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</si>
  <si>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</si>
  <si>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</si>
  <si>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</si>
  <si>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</si>
  <si>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</si>
  <si>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</si>
  <si>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</si>
  <si>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</si>
  <si>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</si>
  <si>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</si>
  <si>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</si>
  <si>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</si>
  <si>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</si>
  <si>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</si>
  <si>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</si>
  <si>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</si>
  <si>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</si>
  <si>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</si>
  <si>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</si>
  <si>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</si>
  <si>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</si>
  <si>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</si>
  <si>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</si>
  <si>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</si>
  <si>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</si>
  <si>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</si>
  <si>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</si>
  <si>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</si>
  <si>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</si>
  <si>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</si>
  <si>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</si>
  <si>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</si>
  <si>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</si>
  <si>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</si>
  <si>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</si>
  <si>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</si>
  <si>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</si>
  <si>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</si>
  <si>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</si>
  <si>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</si>
  <si>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</si>
  <si>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</si>
  <si>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</si>
  <si>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</si>
  <si>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</si>
  <si>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</si>
  <si>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</si>
  <si>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</si>
  <si>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</si>
  <si>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</si>
  <si>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</si>
  <si>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</si>
  <si>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</si>
  <si>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</si>
  <si>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</si>
  <si>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</si>
  <si>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</si>
  <si>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</si>
  <si>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</si>
  <si>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</si>
  <si>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</si>
  <si>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</si>
  <si>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</si>
  <si>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</si>
  <si>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</si>
  <si>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</si>
  <si>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</si>
  <si>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</si>
  <si>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</si>
  <si>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</si>
  <si>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</si>
  <si>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</si>
  <si>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</si>
  <si>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</si>
  <si>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</si>
  <si>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</si>
  <si>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</si>
  <si>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</si>
  <si>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</si>
  <si>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</si>
  <si>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</si>
  <si>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</si>
  <si>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</si>
  <si>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</si>
  <si>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</si>
  <si>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</si>
  <si>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</si>
  <si>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</si>
  <si>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</si>
  <si>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</si>
  <si>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</si>
  <si>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</si>
  <si>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</si>
  <si>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</si>
  <si>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</si>
  <si>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</si>
  <si>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</si>
  <si>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</si>
  <si>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</si>
  <si>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</si>
  <si>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</si>
  <si>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</si>
  <si>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</si>
  <si>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</si>
  <si>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</si>
  <si>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</si>
  <si>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</si>
  <si>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</si>
  <si>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</si>
  <si>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</si>
  <si>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</si>
  <si>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</si>
  <si>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</si>
  <si>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</si>
  <si>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</si>
  <si>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</si>
  <si>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</si>
  <si>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</si>
  <si>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</si>
  <si>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</si>
  <si>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</si>
  <si>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</si>
  <si>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</si>
  <si>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</si>
  <si>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</si>
  <si>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</si>
  <si>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</si>
  <si>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</si>
  <si>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</si>
  <si>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</si>
  <si>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</si>
  <si>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</si>
  <si>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</si>
  <si>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</si>
  <si>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</si>
  <si>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</si>
  <si>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</si>
  <si>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</si>
  <si>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</si>
  <si>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</si>
  <si>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</si>
  <si>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Prestação de Serviços de Agenciamento de Viagens em 24 meses</t>
  </si>
  <si>
    <t>UN</t>
  </si>
  <si>
    <t>AEROTOUR SERVICOS DE VIAGENS LTDA</t>
  </si>
  <si>
    <t>ESTAU ASSESSORIA EMPRESARIAL LTDA</t>
  </si>
  <si>
    <t>WEBTRIP AGENCIA DE VIAGENS E TURISMO LTDA</t>
  </si>
  <si>
    <t>L. A. VIAGENS E TURISMO LTDA</t>
  </si>
  <si>
    <t>CERRADO VIAGENS LTDA</t>
  </si>
  <si>
    <t>R. R. F. GUIMARAES AGENCIA DE VIAGENS LTDA</t>
  </si>
  <si>
    <t>MIRANDA TURISMO E REPRESENTACOES LTDA</t>
  </si>
  <si>
    <t>R MORAES AGENCIA DE TURISMO LTDA</t>
  </si>
  <si>
    <t>AEROTUR SERVICOS DE VIAGENS LTDA</t>
  </si>
  <si>
    <t>BRASITUR EVENTOS E TURISMO LTDA</t>
  </si>
  <si>
    <t>BREMATUR - PASSAGENS E TURISMO LTDA</t>
  </si>
  <si>
    <t>CAMBOATAS TURISMO LTDA</t>
  </si>
  <si>
    <t>CONNECTION - ADVISORY, OUTSOURCING AND SERVICES LTDA</t>
  </si>
  <si>
    <t>CONSULT VIAGENS E TURISMO LTDA</t>
  </si>
  <si>
    <t>ITEM</t>
  </si>
  <si>
    <t>Descrição</t>
  </si>
  <si>
    <t>QTD PASSAGENS 
(24 meses)</t>
  </si>
  <si>
    <t>TA (%)</t>
  </si>
  <si>
    <t>VALOR DE REFERÊNCIA PASSAGENS (R$)</t>
  </si>
  <si>
    <t>PREÇO TOTAL ESTIMADO (R$)</t>
  </si>
  <si>
    <t xml:space="preserve">Cálculo do valor da TA ofertada no Pregão 90007/2024 - 040003 </t>
  </si>
  <si>
    <t>Demonstrativo para cálculo da TA</t>
  </si>
  <si>
    <t>Fornecedor</t>
  </si>
  <si>
    <t>CNPJ</t>
  </si>
  <si>
    <t xml:space="preserve">Preço praticado (P) </t>
  </si>
  <si>
    <t xml:space="preserve">VE (valor de referência passagens do órgão) </t>
  </si>
  <si>
    <t>Valor da Taxa (TA) Ofertado
TA = (P/VE) - 1</t>
  </si>
  <si>
    <t>Fórmula Informada pelo TR</t>
  </si>
  <si>
    <t>P = VE (1  + TA)</t>
  </si>
  <si>
    <t>06.955.770/0001-74</t>
  </si>
  <si>
    <t>05.120.923/0001-09</t>
  </si>
  <si>
    <t>Fórmula para encontrar a TA</t>
  </si>
  <si>
    <t>TA = P/VE - 1</t>
  </si>
  <si>
    <t>23.361.387/0001-07</t>
  </si>
  <si>
    <t>82.524.232/0001-03</t>
  </si>
  <si>
    <t>06.200.694/0001-97</t>
  </si>
  <si>
    <t>Informativo</t>
  </si>
  <si>
    <t>26.722.189/0001-10</t>
  </si>
  <si>
    <t>P - Preço total</t>
  </si>
  <si>
    <t>CONNECTION - ADVISORY,
OUTSOURCING AND SERVICES LTDA</t>
  </si>
  <si>
    <t>13.645.308/0001-36</t>
  </si>
  <si>
    <t>VE - Valor de Referência Passagens</t>
  </si>
  <si>
    <t>11.955.015/0001-20</t>
  </si>
  <si>
    <t>TA - Taxa de Administração</t>
  </si>
  <si>
    <t>Cálculo do valor da TA ofertada no Pregão 15/2023  - 926394</t>
  </si>
  <si>
    <t>Preço praticado (P) - Valor do Seguro (22.064,26)</t>
  </si>
  <si>
    <t>18154496000113</t>
  </si>
  <si>
    <t>07340993000190</t>
  </si>
  <si>
    <t>04613668000165</t>
  </si>
  <si>
    <t>05120923000109</t>
  </si>
  <si>
    <t>26722189000110</t>
  </si>
  <si>
    <t>33318780000171</t>
  </si>
  <si>
    <t>24929614000110</t>
  </si>
  <si>
    <t>Cálculo do Preço Total Estimado com aplicação da Taxa de Administração ofertada nos pregões</t>
  </si>
  <si>
    <t>Pregão - UASG</t>
  </si>
  <si>
    <t>Valor da Taxa (TA) ofertado no Pregão</t>
  </si>
  <si>
    <t>VE (valor da estimativa do TRE)</t>
  </si>
  <si>
    <t>P = VE (1+TA)</t>
  </si>
  <si>
    <t>15/2023 - 926394</t>
  </si>
  <si>
    <t>18.154.496/0001-13</t>
  </si>
  <si>
    <t>07.340.993/0001-90</t>
  </si>
  <si>
    <t>04.613.668/0001-65</t>
  </si>
  <si>
    <t>33.318.780/0001-71</t>
  </si>
  <si>
    <t>24.929.614/0001-10</t>
  </si>
  <si>
    <t>90007/2024 - 040003</t>
  </si>
  <si>
    <t xml:space="preserve"> BREMATUR - PASSAGENS E TURISMO
LTDA</t>
  </si>
  <si>
    <t>Total</t>
  </si>
  <si>
    <r>
      <t>Prestação de Serviços de Agenciamento de Viagens em </t>
    </r>
    <r>
      <rPr>
        <b/>
        <sz val="14"/>
        <color rgb="FF000000"/>
        <rFont val="Times New Roman"/>
        <family val="1"/>
      </rPr>
      <t>24 meses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</si>
</sst>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R$&quot;\ #,##0.00;[Red]\-&quot;R$&quot;\ #,##0.00"/>
    <numFmt numFmtId="44" formatCode="_-&quot;R$&quot;\ * #,##0.00_-;\-&quot;R$&quot;\ * #,##0.00_-;_-&quot;R$&quot;\ * &quot;-&quot;??_-;_-@_-"/>
    <numFmt numFmtId="164" formatCode="0.000%"/>
    <numFmt numFmtId="165" formatCode="0.0000000000000000000"/>
  </numFmts>
  <fonts count="18"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b/>
      <sz val="9"/>
      <color theme="1"/>
      <name val="Calibri"/>
      <family val="2"/>
      <scheme val="minor"/>
    </font>
    <font>
      <b/>
      <sz val="11"/>
      <color theme="1"/>
      <name val="Calibri"/>
      <family val="2"/>
      <scheme val="minor"/>
    </font>
    <font>
      <sz val="12"/>
      <color theme="1"/>
      <name val="Calibri"/>
      <family val="2"/>
      <scheme val="minor"/>
    </font>
    <font>
      <sz val="14"/>
      <color rgb="FF000000"/>
      <name val="Times New Roman"/>
      <family val="1"/>
    </font>
    <font>
      <b/>
      <sz val="12"/>
      <color theme="1"/>
      <name val="Calibri"/>
      <family val="2"/>
      <scheme val="minor"/>
    </font>
    <font>
      <b/>
      <sz val="12"/>
      <name val="Calibri"/>
      <family val="2"/>
      <scheme val="minor"/>
    </font>
    <font>
      <b/>
      <sz val="12"/>
      <color rgb="FF000000"/>
      <name val="Times New Roman"/>
      <family val="1"/>
    </font>
    <font>
      <b/>
      <sz val="14"/>
      <color rgb="FF00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4">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29">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44" fontId="5" fillId="2" borderId="7" xfId="1" applyFont="1" applyFill="1" applyBorder="1" applyAlignment="1">
      <alignment horizontal="center" shrinkToFit="1"/>
    </xf>
    <xf numFmtId="0" fontId="2" fillId="0" borderId="1" xfId="0" applyFont="1" applyBorder="1" applyAlignment="1">
      <alignment horizontal="center" vertical="center"/>
    </xf>
    <xf numFmtId="44" fontId="2" fillId="0" borderId="1" xfId="1" applyFont="1" applyBorder="1" applyAlignment="1">
      <alignment vertical="center"/>
    </xf>
    <xf numFmtId="0" fontId="2" fillId="0" borderId="1" xfId="0" applyFont="1" applyBorder="1" applyAlignment="1">
      <alignment horizontal="left" vertical="center" wrapText="1"/>
    </xf>
    <xf numFmtId="0" fontId="10" fillId="0" borderId="1" xfId="0" applyFont="1" applyBorder="1" applyAlignment="1">
      <alignment vertical="center"/>
    </xf>
    <xf numFmtId="0" fontId="10" fillId="0" borderId="1" xfId="0" applyFont="1" applyBorder="1" applyAlignment="1">
      <alignment horizontal="left" vertical="center"/>
    </xf>
    <xf numFmtId="0" fontId="10" fillId="0" borderId="1" xfId="0" applyFont="1" applyBorder="1" applyAlignment="1"/>
    <xf numFmtId="8" fontId="7" fillId="0" borderId="1" xfId="1" applyNumberFormat="1" applyFont="1" applyBorder="1" applyAlignment="1">
      <alignment horizontal="center" shrinkToFit="1"/>
    </xf>
    <xf numFmtId="4" fontId="12" fillId="0" borderId="8" xfId="0" applyNumberFormat="1" applyFont="1" applyBorder="1"/>
    <xf numFmtId="164" fontId="13" fillId="0" borderId="8" xfId="0" applyNumberFormat="1" applyFont="1" applyBorder="1" applyAlignment="1">
      <alignment horizontal="center" vertical="center" wrapText="1"/>
    </xf>
    <xf numFmtId="0" fontId="0" fillId="0" borderId="0" xfId="0" applyBorder="1"/>
    <xf numFmtId="0" fontId="0" fillId="0" borderId="0" xfId="0" applyFont="1" applyBorder="1" applyAlignment="1">
      <alignment horizontal="left" vertical="center"/>
    </xf>
    <xf numFmtId="0" fontId="0" fillId="0" borderId="0" xfId="0" applyBorder="1" applyAlignment="1"/>
    <xf numFmtId="4" fontId="0" fillId="0" borderId="0" xfId="0" applyNumberFormat="1" applyBorder="1" applyAlignment="1">
      <alignment vertical="center"/>
    </xf>
    <xf numFmtId="0" fontId="12" fillId="0" borderId="0" xfId="0" applyFont="1"/>
    <xf numFmtId="0" fontId="14" fillId="0" borderId="0" xfId="0" applyFont="1" applyBorder="1" applyAlignment="1">
      <alignment horizontal="center" vertical="center"/>
    </xf>
    <xf numFmtId="0" fontId="12" fillId="0" borderId="0" xfId="0" applyFont="1" applyAlignment="1">
      <alignment horizontal="center"/>
    </xf>
    <xf numFmtId="0" fontId="12" fillId="0" borderId="0" xfId="0" applyFont="1" applyBorder="1" applyAlignment="1">
      <alignment vertical="center" wrapText="1"/>
    </xf>
    <xf numFmtId="0" fontId="12" fillId="0" borderId="0" xfId="0" applyFont="1" applyBorder="1" applyAlignment="1">
      <alignment vertical="center"/>
    </xf>
    <xf numFmtId="0" fontId="14" fillId="0" borderId="8" xfId="0" applyFont="1" applyBorder="1" applyAlignment="1">
      <alignment horizontal="center" vertical="center"/>
    </xf>
    <xf numFmtId="0" fontId="14" fillId="0" borderId="8" xfId="0" applyFont="1" applyBorder="1" applyAlignment="1">
      <alignment horizontal="center" vertical="center" wrapText="1"/>
    </xf>
    <xf numFmtId="0" fontId="14" fillId="0" borderId="8"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8" xfId="0" applyFont="1" applyBorder="1" applyAlignment="1">
      <alignment horizontal="left"/>
    </xf>
    <xf numFmtId="49" fontId="12" fillId="0" borderId="8" xfId="0" applyNumberFormat="1" applyFont="1" applyBorder="1" applyAlignment="1">
      <alignment horizontal="center" vertical="center" wrapText="1"/>
    </xf>
    <xf numFmtId="0" fontId="12" fillId="0" borderId="8" xfId="0" applyFont="1" applyBorder="1"/>
    <xf numFmtId="165" fontId="12" fillId="0" borderId="8" xfId="0" applyNumberFormat="1" applyFont="1" applyBorder="1"/>
    <xf numFmtId="165" fontId="12" fillId="0" borderId="0" xfId="0" applyNumberFormat="1" applyFont="1" applyBorder="1"/>
    <xf numFmtId="0" fontId="12" fillId="0" borderId="8" xfId="0" applyFont="1" applyBorder="1" applyAlignment="1">
      <alignment horizontal="center" vertical="center"/>
    </xf>
    <xf numFmtId="3" fontId="12" fillId="0" borderId="8" xfId="0" applyNumberFormat="1" applyFont="1" applyBorder="1" applyAlignment="1">
      <alignment horizontal="center" vertical="center"/>
    </xf>
    <xf numFmtId="0" fontId="12" fillId="0" borderId="0" xfId="0" applyFont="1" applyAlignment="1"/>
    <xf numFmtId="0" fontId="14" fillId="0" borderId="0" xfId="0" applyFont="1" applyBorder="1" applyAlignment="1">
      <alignment vertical="center"/>
    </xf>
    <xf numFmtId="0" fontId="14" fillId="0" borderId="8" xfId="0" applyFont="1" applyBorder="1" applyAlignment="1"/>
    <xf numFmtId="49" fontId="12" fillId="0" borderId="8" xfId="0" applyNumberFormat="1" applyFont="1" applyBorder="1" applyAlignment="1">
      <alignment horizontal="center" vertical="center"/>
    </xf>
    <xf numFmtId="0" fontId="14" fillId="0" borderId="0" xfId="0" applyFont="1" applyBorder="1" applyAlignment="1"/>
    <xf numFmtId="49" fontId="12" fillId="0" borderId="0" xfId="0" applyNumberFormat="1" applyFont="1" applyBorder="1" applyAlignment="1">
      <alignment horizontal="center" vertical="center"/>
    </xf>
    <xf numFmtId="4" fontId="12" fillId="0" borderId="0" xfId="0" applyNumberFormat="1" applyFont="1" applyBorder="1"/>
    <xf numFmtId="0" fontId="12" fillId="0" borderId="0" xfId="0" applyFont="1" applyBorder="1"/>
    <xf numFmtId="0" fontId="15" fillId="3" borderId="17"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15" xfId="0" applyFont="1" applyFill="1" applyBorder="1" applyAlignment="1">
      <alignment horizontal="center" vertical="center" wrapText="1"/>
    </xf>
    <xf numFmtId="0" fontId="15" fillId="3" borderId="15" xfId="0" applyFont="1" applyFill="1" applyBorder="1" applyAlignment="1">
      <alignment vertical="center" wrapText="1"/>
    </xf>
    <xf numFmtId="0" fontId="15" fillId="3" borderId="16" xfId="0" applyFont="1" applyFill="1" applyBorder="1" applyAlignment="1">
      <alignment horizontal="center" vertical="center" wrapText="1"/>
    </xf>
    <xf numFmtId="0" fontId="12" fillId="0" borderId="20" xfId="0" applyFont="1" applyBorder="1" applyAlignment="1">
      <alignment horizontal="left" vertical="center"/>
    </xf>
    <xf numFmtId="0" fontId="14" fillId="0" borderId="8" xfId="0" applyFont="1" applyBorder="1" applyAlignment="1">
      <alignment horizontal="left" vertical="center"/>
    </xf>
    <xf numFmtId="164" fontId="12" fillId="0" borderId="8" xfId="2" applyNumberFormat="1" applyFont="1" applyBorder="1" applyAlignment="1">
      <alignment vertical="center" wrapText="1"/>
    </xf>
    <xf numFmtId="4" fontId="12" fillId="0" borderId="8" xfId="0" applyNumberFormat="1" applyFont="1" applyBorder="1" applyAlignment="1">
      <alignment vertical="center"/>
    </xf>
    <xf numFmtId="4" fontId="12" fillId="0" borderId="18" xfId="0" applyNumberFormat="1" applyFont="1" applyBorder="1" applyAlignment="1">
      <alignment horizontal="center" vertical="center"/>
    </xf>
    <xf numFmtId="164" fontId="12" fillId="0" borderId="8" xfId="2" applyNumberFormat="1" applyFont="1" applyBorder="1"/>
    <xf numFmtId="0" fontId="12" fillId="0" borderId="14" xfId="0" applyFont="1" applyBorder="1" applyAlignment="1"/>
    <xf numFmtId="0" fontId="14" fillId="0" borderId="12" xfId="0" applyFont="1" applyBorder="1" applyAlignment="1">
      <alignment horizontal="left"/>
    </xf>
    <xf numFmtId="3" fontId="12" fillId="0" borderId="12" xfId="0" applyNumberFormat="1" applyFont="1" applyBorder="1" applyAlignment="1">
      <alignment horizontal="center" vertical="center"/>
    </xf>
    <xf numFmtId="164" fontId="12" fillId="0" borderId="12" xfId="0" applyNumberFormat="1" applyFont="1" applyBorder="1"/>
    <xf numFmtId="4" fontId="12" fillId="0" borderId="12" xfId="0" applyNumberFormat="1" applyFont="1" applyBorder="1" applyAlignment="1">
      <alignment vertical="center"/>
    </xf>
    <xf numFmtId="4" fontId="12" fillId="0" borderId="13" xfId="0" applyNumberFormat="1" applyFont="1" applyBorder="1" applyAlignment="1">
      <alignment horizontal="center" vertical="center"/>
    </xf>
    <xf numFmtId="0" fontId="12" fillId="0" borderId="22" xfId="0" applyFont="1" applyBorder="1" applyAlignment="1">
      <alignment horizontal="left" vertical="center"/>
    </xf>
    <xf numFmtId="0" fontId="12" fillId="0" borderId="21" xfId="0" applyFont="1" applyBorder="1" applyAlignment="1">
      <alignment horizontal="center" vertical="center"/>
    </xf>
    <xf numFmtId="164" fontId="12" fillId="0" borderId="21" xfId="0" applyNumberFormat="1" applyFont="1" applyBorder="1" applyAlignment="1">
      <alignment horizontal="right" vertical="center"/>
    </xf>
    <xf numFmtId="4" fontId="12" fillId="0" borderId="21" xfId="0" applyNumberFormat="1" applyFont="1" applyBorder="1" applyAlignment="1">
      <alignment vertical="center"/>
    </xf>
    <xf numFmtId="4" fontId="12" fillId="0" borderId="23" xfId="0" applyNumberFormat="1" applyFont="1" applyBorder="1" applyAlignment="1">
      <alignment horizontal="center" vertical="center"/>
    </xf>
    <xf numFmtId="0" fontId="0" fillId="0" borderId="0" xfId="0" applyBorder="1" applyAlignment="1">
      <alignment vertical="center" wrapText="1"/>
    </xf>
    <xf numFmtId="0" fontId="0" fillId="0" borderId="0" xfId="0" applyBorder="1" applyAlignment="1">
      <alignment vertical="center"/>
    </xf>
    <xf numFmtId="0" fontId="11" fillId="0" borderId="0" xfId="0" applyFont="1" applyBorder="1" applyAlignment="1"/>
    <xf numFmtId="0" fontId="0" fillId="0" borderId="0" xfId="0" applyBorder="1" applyAlignment="1">
      <alignment horizontal="center"/>
    </xf>
    <xf numFmtId="0" fontId="11" fillId="0" borderId="0" xfId="0" applyFont="1" applyBorder="1" applyAlignment="1">
      <alignment vertical="center"/>
    </xf>
    <xf numFmtId="0" fontId="11" fillId="0" borderId="0" xfId="0"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Border="1" applyAlignment="1">
      <alignment vertical="center" wrapText="1"/>
    </xf>
    <xf numFmtId="0" fontId="0" fillId="0" borderId="0" xfId="0" applyBorder="1" applyAlignment="1">
      <alignment horizontal="left" vertical="center"/>
    </xf>
    <xf numFmtId="0" fontId="11" fillId="0" borderId="0" xfId="0" applyFont="1" applyBorder="1" applyAlignment="1">
      <alignment horizontal="left" vertical="center"/>
    </xf>
    <xf numFmtId="49" fontId="0" fillId="0" borderId="0" xfId="0" applyNumberFormat="1" applyBorder="1" applyAlignment="1">
      <alignment horizontal="center" vertical="center" wrapText="1"/>
    </xf>
    <xf numFmtId="164" fontId="0" fillId="0" borderId="0" xfId="2" applyNumberFormat="1" applyFont="1" applyBorder="1" applyAlignment="1">
      <alignment vertical="center" wrapText="1"/>
    </xf>
    <xf numFmtId="49" fontId="0" fillId="0" borderId="0" xfId="0" applyNumberFormat="1" applyBorder="1" applyAlignment="1">
      <alignment horizontal="center" vertical="center"/>
    </xf>
    <xf numFmtId="164" fontId="0" fillId="0" borderId="0" xfId="2" applyNumberFormat="1" applyFont="1" applyBorder="1"/>
    <xf numFmtId="0" fontId="0" fillId="0" borderId="0" xfId="0" applyBorder="1" applyAlignment="1">
      <alignment horizontal="center" vertical="center"/>
    </xf>
    <xf numFmtId="0" fontId="13" fillId="0" borderId="8" xfId="0" applyFont="1" applyBorder="1" applyAlignment="1">
      <alignment vertical="center" wrapText="1"/>
    </xf>
    <xf numFmtId="0" fontId="13" fillId="0" borderId="8" xfId="0" applyFont="1" applyBorder="1" applyAlignment="1">
      <alignment horizontal="center" vertical="center" wrapText="1"/>
    </xf>
    <xf numFmtId="4" fontId="13" fillId="0" borderId="8" xfId="0" applyNumberFormat="1" applyFont="1" applyBorder="1" applyAlignment="1">
      <alignment horizontal="center" vertical="center" wrapText="1"/>
    </xf>
    <xf numFmtId="0" fontId="16" fillId="0" borderId="8"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44" fontId="8" fillId="2" borderId="6"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xf numFmtId="0" fontId="12" fillId="0" borderId="12"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18" xfId="0" applyFont="1" applyBorder="1" applyAlignment="1">
      <alignment horizontal="center"/>
    </xf>
    <xf numFmtId="0" fontId="14" fillId="0" borderId="19" xfId="0" applyFont="1" applyBorder="1" applyAlignment="1">
      <alignment horizontal="center"/>
    </xf>
    <xf numFmtId="0" fontId="14" fillId="0" borderId="20" xfId="0" applyFont="1" applyBorder="1" applyAlignment="1">
      <alignment horizontal="center"/>
    </xf>
    <xf numFmtId="0" fontId="12" fillId="0" borderId="18" xfId="0" applyFont="1" applyBorder="1" applyAlignment="1">
      <alignment horizontal="left"/>
    </xf>
    <xf numFmtId="0" fontId="12" fillId="0" borderId="19" xfId="0" applyFont="1" applyBorder="1" applyAlignment="1">
      <alignment horizontal="left"/>
    </xf>
    <xf numFmtId="0" fontId="12" fillId="0" borderId="20" xfId="0" applyFont="1" applyBorder="1" applyAlignment="1">
      <alignment horizontal="left"/>
    </xf>
    <xf numFmtId="0" fontId="12" fillId="0" borderId="0" xfId="0" applyFont="1" applyBorder="1" applyAlignment="1">
      <alignment horizontal="left"/>
    </xf>
  </cellXfs>
  <cellStyles count="3">
    <cellStyle name="Moeda" xfId="1" builtinId="4"/>
    <cellStyle name="Normal" xfId="0" builtinId="0"/>
    <cellStyle name="Porcentagem" xfId="2" builtinId="5"/>
  </cellStyles>
  <dxfs count="12">
    <dxf>
      <font>
        <b val="0"/>
        <i val="0"/>
        <strike val="0"/>
        <condense val="0"/>
        <extend val="0"/>
        <outline val="0"/>
        <shadow val="0"/>
        <u val="none"/>
        <vertAlign val="baseline"/>
        <sz val="12"/>
        <color theme="1"/>
        <name val="Calibri"/>
        <scheme val="minor"/>
      </font>
      <numFmt numFmtId="4" formatCode="#,##0.00"/>
      <alignment horizontal="center"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theme="1"/>
        <name val="Calibri"/>
        <scheme val="minor"/>
      </font>
      <numFmt numFmtId="4"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scheme val="minor"/>
      </font>
      <numFmt numFmtId="4" formatCode="#,##0.00"/>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Calibri"/>
        <scheme val="minor"/>
      </font>
      <numFmt numFmtId="4" formatCode="#,##0.00"/>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minor"/>
      </font>
      <numFmt numFmtId="164" formatCode="0.000%"/>
      <alignment horizontal="righ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Calibri"/>
        <scheme val="minor"/>
      </font>
      <numFmt numFmtId="164" formatCode="0.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minor"/>
      </font>
      <alignment horizontal="left"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theme="1"/>
        <name val="Calibri"/>
        <scheme val="minor"/>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id="1" name="Tabela1" displayName="Tabela1" ref="B27:G43" totalsRowCount="1" headerRowDxfId="11" tableBorderDxfId="10">
  <autoFilter ref="B27:G42"/>
  <tableColumns count="6">
    <tableColumn id="1" name="Pregão - UASG" totalsRowLabel="Total" dataDxfId="9" totalsRowDxfId="8"/>
    <tableColumn id="2" name="Fornecedor"/>
    <tableColumn id="3" name="CNPJ" dataDxfId="7" totalsRowDxfId="6"/>
    <tableColumn id="4" name="Valor da Taxa (TA) ofertado no Pregão" totalsRowFunction="average" dataDxfId="5" totalsRowDxfId="4" dataCellStyle="Porcentagem"/>
    <tableColumn id="5" name="VE (valor da estimativa do TRE)" totalsRowFunction="average" dataDxfId="3" totalsRowDxfId="2"/>
    <tableColumn id="6" name="P = VE (1+TA)" totalsRowFunction="average" dataDxfId="1" totalsRowDxfId="0">
      <calculatedColumnFormula>F28* (1 + E28)</calculatedColumnFormula>
    </tableColumn>
  </tableColumns>
  <tableStyleInfo name="TableStyleMedium1" showFirstColumn="0" showLastColumn="0" showRowStripes="0" showColumnStripes="0"/>
</table>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115" zoomScaleNormal="100" zoomScaleSheetLayoutView="115" workbookViewId="0">
      <selection activeCell="H18" sqref="H18"/>
    </sheetView>
  </sheetViews>
  <sheetFormatPr defaultRowHeight="15" x14ac:dyDescent="0.25"/>
  <cols>
    <col min="1" max="1" width="10.7109375" style="1" customWidth="1"/>
    <col min="2" max="2" width="30.7109375" style="1" customWidth="1"/>
    <col min="3" max="4" width="10.7109375" style="1" customWidth="1"/>
    <col min="5" max="5" width="14.5703125" style="1" customWidth="1"/>
    <col min="6" max="6" width="14"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1</v>
      </c>
      <c r="B3" s="106" t="s">
        <v>207</v>
      </c>
      <c r="C3" s="108" t="s">
        <v>208</v>
      </c>
      <c r="D3" s="108">
        <v>1</v>
      </c>
      <c r="E3" s="109">
        <f>IF(C20&lt;=25%,D20,MIN(E20:F20))</f>
        <v>1623085.85</v>
      </c>
      <c r="F3" s="110">
        <f>MIN(H3:H17)</f>
        <v>1593151.08</v>
      </c>
      <c r="G3" s="29" t="s">
        <v>210</v>
      </c>
      <c r="H3" s="32">
        <v>1623857.35</v>
      </c>
      <c r="I3" s="25" t="str">
        <f>IF(H3="","",(IF($C$20&lt;25%,"n/a",IF(H3&lt;=($D$20+$A$20),H3,"Descartado"))))</f>
        <v>n/a</v>
      </c>
    </row>
    <row r="4" spans="1:9" x14ac:dyDescent="0.25">
      <c r="A4" s="111"/>
      <c r="B4" s="107"/>
      <c r="C4" s="108"/>
      <c r="D4" s="108"/>
      <c r="E4" s="109"/>
      <c r="F4" s="110"/>
      <c r="G4" s="29" t="s">
        <v>211</v>
      </c>
      <c r="H4" s="32">
        <v>1623857.35</v>
      </c>
      <c r="I4" s="25" t="str">
        <f t="shared" ref="I4:I17" si="0">IF(H4="","",(IF($C$20&lt;25%,"n/a",IF(H4&lt;=($D$20+$A$20),H4,"Descartado"))))</f>
        <v>n/a</v>
      </c>
    </row>
    <row r="5" spans="1:9" x14ac:dyDescent="0.25">
      <c r="A5" s="111"/>
      <c r="B5" s="107"/>
      <c r="C5" s="108"/>
      <c r="D5" s="108"/>
      <c r="E5" s="109"/>
      <c r="F5" s="110"/>
      <c r="G5" s="29" t="s">
        <v>212</v>
      </c>
      <c r="H5" s="32">
        <v>1623831.64</v>
      </c>
      <c r="I5" s="25" t="str">
        <f t="shared" si="0"/>
        <v>n/a</v>
      </c>
    </row>
    <row r="6" spans="1:9" x14ac:dyDescent="0.25">
      <c r="A6" s="111"/>
      <c r="B6" s="107"/>
      <c r="C6" s="108"/>
      <c r="D6" s="108"/>
      <c r="E6" s="109"/>
      <c r="F6" s="110"/>
      <c r="G6" s="29" t="s">
        <v>209</v>
      </c>
      <c r="H6" s="32">
        <v>1623831.64</v>
      </c>
      <c r="I6" s="25" t="str">
        <f t="shared" si="0"/>
        <v>n/a</v>
      </c>
    </row>
    <row r="7" spans="1:9" x14ac:dyDescent="0.25">
      <c r="A7" s="111"/>
      <c r="B7" s="107"/>
      <c r="C7" s="108"/>
      <c r="D7" s="108"/>
      <c r="E7" s="109"/>
      <c r="F7" s="110"/>
      <c r="G7" s="29" t="s">
        <v>213</v>
      </c>
      <c r="H7" s="32">
        <v>1623857.35</v>
      </c>
      <c r="I7" s="25" t="str">
        <f t="shared" si="0"/>
        <v>n/a</v>
      </c>
    </row>
    <row r="8" spans="1:9" x14ac:dyDescent="0.25">
      <c r="A8" s="111"/>
      <c r="B8" s="107"/>
      <c r="C8" s="108"/>
      <c r="D8" s="108"/>
      <c r="E8" s="109"/>
      <c r="F8" s="110"/>
      <c r="G8" s="29" t="s">
        <v>214</v>
      </c>
      <c r="H8" s="32">
        <v>1623857.35</v>
      </c>
      <c r="I8" s="25" t="str">
        <f t="shared" si="0"/>
        <v>n/a</v>
      </c>
    </row>
    <row r="9" spans="1:9" x14ac:dyDescent="0.25">
      <c r="A9" s="111"/>
      <c r="B9" s="107"/>
      <c r="C9" s="108"/>
      <c r="D9" s="108"/>
      <c r="E9" s="109"/>
      <c r="F9" s="110"/>
      <c r="G9" s="29" t="s">
        <v>215</v>
      </c>
      <c r="H9" s="32">
        <v>1623857.35</v>
      </c>
      <c r="I9" s="25" t="str">
        <f t="shared" si="0"/>
        <v>n/a</v>
      </c>
    </row>
    <row r="10" spans="1:9" x14ac:dyDescent="0.25">
      <c r="A10" s="111"/>
      <c r="B10" s="107"/>
      <c r="C10" s="108"/>
      <c r="D10" s="108"/>
      <c r="E10" s="109"/>
      <c r="F10" s="110"/>
      <c r="G10" s="29" t="s">
        <v>216</v>
      </c>
      <c r="H10" s="32">
        <v>1593151.08</v>
      </c>
      <c r="I10" s="25" t="str">
        <f t="shared" si="0"/>
        <v>n/a</v>
      </c>
    </row>
    <row r="11" spans="1:9" x14ac:dyDescent="0.25">
      <c r="A11" s="111"/>
      <c r="B11" s="107"/>
      <c r="C11" s="108"/>
      <c r="D11" s="108"/>
      <c r="E11" s="109"/>
      <c r="F11" s="110"/>
      <c r="G11" s="30" t="s">
        <v>217</v>
      </c>
      <c r="H11" s="32">
        <v>1623857.35</v>
      </c>
      <c r="I11" s="25" t="str">
        <f t="shared" si="0"/>
        <v>n/a</v>
      </c>
    </row>
    <row r="12" spans="1:9" x14ac:dyDescent="0.25">
      <c r="A12" s="111"/>
      <c r="B12" s="107"/>
      <c r="C12" s="108"/>
      <c r="D12" s="108"/>
      <c r="E12" s="109"/>
      <c r="F12" s="110"/>
      <c r="G12" s="31" t="s">
        <v>218</v>
      </c>
      <c r="H12" s="32">
        <v>1623857.35</v>
      </c>
      <c r="I12" s="25" t="str">
        <f t="shared" si="0"/>
        <v>n/a</v>
      </c>
    </row>
    <row r="13" spans="1:9" x14ac:dyDescent="0.25">
      <c r="A13" s="111"/>
      <c r="B13" s="107"/>
      <c r="C13" s="108"/>
      <c r="D13" s="108"/>
      <c r="E13" s="109"/>
      <c r="F13" s="110"/>
      <c r="G13" s="30" t="s">
        <v>219</v>
      </c>
      <c r="H13" s="32">
        <v>1623678.63</v>
      </c>
      <c r="I13" s="25" t="str">
        <f t="shared" si="0"/>
        <v>n/a</v>
      </c>
    </row>
    <row r="14" spans="1:9" x14ac:dyDescent="0.25">
      <c r="A14" s="111"/>
      <c r="B14" s="107"/>
      <c r="C14" s="108"/>
      <c r="D14" s="108"/>
      <c r="E14" s="109"/>
      <c r="F14" s="110"/>
      <c r="G14" s="31" t="s">
        <v>220</v>
      </c>
      <c r="H14" s="32">
        <v>1623857.35</v>
      </c>
      <c r="I14" s="25" t="str">
        <f t="shared" si="0"/>
        <v>n/a</v>
      </c>
    </row>
    <row r="15" spans="1:9" x14ac:dyDescent="0.25">
      <c r="A15" s="111"/>
      <c r="B15" s="107"/>
      <c r="C15" s="108"/>
      <c r="D15" s="108"/>
      <c r="E15" s="109"/>
      <c r="F15" s="110"/>
      <c r="G15" s="30" t="s">
        <v>213</v>
      </c>
      <c r="H15" s="32">
        <v>1623857.35</v>
      </c>
      <c r="I15" s="25" t="str">
        <f t="shared" si="0"/>
        <v>n/a</v>
      </c>
    </row>
    <row r="16" spans="1:9" x14ac:dyDescent="0.25">
      <c r="A16" s="111"/>
      <c r="B16" s="107"/>
      <c r="C16" s="108"/>
      <c r="D16" s="108"/>
      <c r="E16" s="109"/>
      <c r="F16" s="110"/>
      <c r="G16" s="31" t="s">
        <v>221</v>
      </c>
      <c r="H16" s="32">
        <v>1633539.33</v>
      </c>
      <c r="I16" s="25" t="str">
        <f t="shared" si="0"/>
        <v>n/a</v>
      </c>
    </row>
    <row r="17" spans="1:9" x14ac:dyDescent="0.25">
      <c r="A17" s="111"/>
      <c r="B17" s="107"/>
      <c r="C17" s="108"/>
      <c r="D17" s="108"/>
      <c r="E17" s="109"/>
      <c r="F17" s="110"/>
      <c r="G17" s="31" t="s">
        <v>222</v>
      </c>
      <c r="H17" s="32">
        <v>1633539.33</v>
      </c>
      <c r="I17" s="25" t="str">
        <f t="shared" si="0"/>
        <v>n/a</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8950.1063321701567</v>
      </c>
      <c r="B20" s="8">
        <f>COUNT(H3:H17)</f>
        <v>15</v>
      </c>
      <c r="C20" s="9">
        <f>IF(B20&lt;2,"n/a",(A20/D20))</f>
        <v>5.514253193797578E-3</v>
      </c>
      <c r="D20" s="10">
        <f>IFERROR(ROUND(AVERAGE(H3:H17),2),"")</f>
        <v>1623085.85</v>
      </c>
      <c r="E20" s="15" t="str">
        <f>IFERROR(ROUND(IF(B20&lt;2,"n/a",(IF(C20&lt;=25%,"n/a",AVERAGE(I3:I17)))),2),"n/a")</f>
        <v>n/a</v>
      </c>
      <c r="F20" s="10">
        <f>IFERROR(ROUND(MEDIAN(H3:H17),2),"")</f>
        <v>1623857.35</v>
      </c>
      <c r="G20" s="11" t="str">
        <f>IFERROR(INDEX(G3:G17,MATCH(H20,H3:H17,0)),"")</f>
        <v>R MORAES AGENCIA DE TURISMO LTDA</v>
      </c>
      <c r="H20" s="12">
        <f>F3</f>
        <v>1593151.08</v>
      </c>
    </row>
    <row r="22" spans="1:9" x14ac:dyDescent="0.25">
      <c r="G22" s="13" t="s">
        <v>20</v>
      </c>
      <c r="H22" s="14">
        <f>IF(C20&lt;=25%,D20,MIN(E20:F20))</f>
        <v>1623085.85</v>
      </c>
    </row>
    <row r="23" spans="1:9" x14ac:dyDescent="0.25">
      <c r="G23" s="13" t="s">
        <v>6</v>
      </c>
      <c r="H23" s="14">
        <f>ROUND(H22,2)*D3</f>
        <v>1623085.85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2"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10</v>
      </c>
      <c r="B3" s="106" t="s">
        <v>40</v>
      </c>
      <c r="C3" s="108" t="s">
        <v>7</v>
      </c>
      <c r="D3" s="108">
        <v>4</v>
      </c>
      <c r="E3" s="109">
        <f>IF(C20&lt;=25%,D20,MIN(E20:F20))</f>
        <v>96.78</v>
      </c>
      <c r="F3" s="109">
        <f>MIN(H3:H17)</f>
        <v>40</v>
      </c>
      <c r="G3" s="5" t="s">
        <v>104</v>
      </c>
      <c r="H3" s="16">
        <v>98</v>
      </c>
      <c r="I3" s="17">
        <f>IF(H3="","",(IF($C$20&lt;25%,"n/a",IF(H3&lt;=($D$20+$A$20),H3,"Descartado"))))</f>
        <v>98</v>
      </c>
    </row>
    <row r="4" spans="1:9" x14ac:dyDescent="0.25">
      <c r="A4" s="111"/>
      <c r="B4" s="107"/>
      <c r="C4" s="108"/>
      <c r="D4" s="108"/>
      <c r="E4" s="109"/>
      <c r="F4" s="109"/>
      <c r="G4" s="5" t="s">
        <v>105</v>
      </c>
      <c r="H4" s="16">
        <v>134.55000000000001</v>
      </c>
      <c r="I4" s="17">
        <f t="shared" ref="I4:I17" si="0">IF(H4="","",(IF($C$20&lt;25%,"n/a",IF(H4&lt;=($D$20+$A$20),H4,"Descartado"))))</f>
        <v>134.55000000000001</v>
      </c>
    </row>
    <row r="5" spans="1:9" x14ac:dyDescent="0.25">
      <c r="A5" s="111"/>
      <c r="B5" s="107"/>
      <c r="C5" s="108"/>
      <c r="D5" s="108"/>
      <c r="E5" s="109"/>
      <c r="F5" s="109"/>
      <c r="G5" s="5" t="s">
        <v>106</v>
      </c>
      <c r="H5" s="16">
        <v>59.77</v>
      </c>
      <c r="I5" s="17">
        <f t="shared" si="0"/>
        <v>59.77</v>
      </c>
    </row>
    <row r="6" spans="1:9" x14ac:dyDescent="0.25">
      <c r="A6" s="111"/>
      <c r="B6" s="107"/>
      <c r="C6" s="108"/>
      <c r="D6" s="108"/>
      <c r="E6" s="109"/>
      <c r="F6" s="109"/>
      <c r="G6" s="5" t="s">
        <v>107</v>
      </c>
      <c r="H6" s="16">
        <v>167</v>
      </c>
      <c r="I6" s="17">
        <f t="shared" si="0"/>
        <v>167</v>
      </c>
    </row>
    <row r="7" spans="1:9" x14ac:dyDescent="0.25">
      <c r="A7" s="111"/>
      <c r="B7" s="107"/>
      <c r="C7" s="108"/>
      <c r="D7" s="108"/>
      <c r="E7" s="109"/>
      <c r="F7" s="109"/>
      <c r="G7" s="5" t="s">
        <v>108</v>
      </c>
      <c r="H7" s="16">
        <v>60</v>
      </c>
      <c r="I7" s="17">
        <f t="shared" si="0"/>
        <v>60</v>
      </c>
    </row>
    <row r="8" spans="1:9" x14ac:dyDescent="0.25">
      <c r="A8" s="111"/>
      <c r="B8" s="107"/>
      <c r="C8" s="108"/>
      <c r="D8" s="108"/>
      <c r="E8" s="109"/>
      <c r="F8" s="109"/>
      <c r="G8" s="5" t="s">
        <v>109</v>
      </c>
      <c r="H8" s="16">
        <v>50</v>
      </c>
      <c r="I8" s="17">
        <f t="shared" si="0"/>
        <v>50</v>
      </c>
    </row>
    <row r="9" spans="1:9" x14ac:dyDescent="0.25">
      <c r="A9" s="111"/>
      <c r="B9" s="107"/>
      <c r="C9" s="108"/>
      <c r="D9" s="108"/>
      <c r="E9" s="109"/>
      <c r="F9" s="109"/>
      <c r="G9" s="5" t="s">
        <v>110</v>
      </c>
      <c r="H9" s="16">
        <v>40</v>
      </c>
      <c r="I9" s="17">
        <f t="shared" si="0"/>
        <v>40</v>
      </c>
    </row>
    <row r="10" spans="1:9" x14ac:dyDescent="0.25">
      <c r="A10" s="111"/>
      <c r="B10" s="107"/>
      <c r="C10" s="108"/>
      <c r="D10" s="108"/>
      <c r="E10" s="109"/>
      <c r="F10" s="109"/>
      <c r="G10" s="5" t="s">
        <v>111</v>
      </c>
      <c r="H10" s="16">
        <v>198.99</v>
      </c>
      <c r="I10" s="17" t="str">
        <f t="shared" si="0"/>
        <v>Descartado</v>
      </c>
    </row>
    <row r="11" spans="1:9" x14ac:dyDescent="0.25">
      <c r="A11" s="111"/>
      <c r="B11" s="107"/>
      <c r="C11" s="108"/>
      <c r="D11" s="108"/>
      <c r="E11" s="109"/>
      <c r="F11" s="109"/>
      <c r="G11" s="5" t="s">
        <v>112</v>
      </c>
      <c r="H11" s="16">
        <v>200</v>
      </c>
      <c r="I11" s="17" t="str">
        <f t="shared" si="0"/>
        <v>Descartado</v>
      </c>
    </row>
    <row r="12" spans="1:9" x14ac:dyDescent="0.25">
      <c r="A12" s="111"/>
      <c r="B12" s="107"/>
      <c r="C12" s="108"/>
      <c r="D12" s="108"/>
      <c r="E12" s="109"/>
      <c r="F12" s="109"/>
      <c r="G12" s="5" t="s">
        <v>177</v>
      </c>
      <c r="H12" s="16">
        <v>199</v>
      </c>
      <c r="I12" s="17" t="str">
        <f t="shared" si="0"/>
        <v>Descartado</v>
      </c>
    </row>
    <row r="13" spans="1:9" x14ac:dyDescent="0.25">
      <c r="A13" s="111"/>
      <c r="B13" s="107"/>
      <c r="C13" s="108"/>
      <c r="D13" s="108"/>
      <c r="E13" s="109"/>
      <c r="F13" s="109"/>
      <c r="G13" s="5" t="s">
        <v>178</v>
      </c>
      <c r="H13" s="16">
        <v>164.9</v>
      </c>
      <c r="I13" s="17">
        <f t="shared" si="0"/>
        <v>164.9</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11</v>
      </c>
      <c r="B3" s="106" t="s">
        <v>41</v>
      </c>
      <c r="C3" s="108" t="s">
        <v>7</v>
      </c>
      <c r="D3" s="108">
        <v>2</v>
      </c>
      <c r="E3" s="109">
        <f>IF(C20&lt;=25%,D20,MIN(E20:F20))</f>
        <v>317.42</v>
      </c>
      <c r="F3" s="109">
        <f>MIN(H3:H17)</f>
        <v>143.76</v>
      </c>
      <c r="G3" s="5" t="s">
        <v>67</v>
      </c>
      <c r="H3" s="16">
        <v>308.31</v>
      </c>
      <c r="I3" s="17">
        <f>IF(H3="","",(IF($C$20&lt;25%,"n/a",IF(H3&lt;=($D$20+$A$20),H3,"Descartado"))))</f>
        <v>308.31</v>
      </c>
    </row>
    <row r="4" spans="1:9" x14ac:dyDescent="0.25">
      <c r="A4" s="111"/>
      <c r="B4" s="107"/>
      <c r="C4" s="108"/>
      <c r="D4" s="108"/>
      <c r="E4" s="109"/>
      <c r="F4" s="109"/>
      <c r="G4" s="5" t="s">
        <v>113</v>
      </c>
      <c r="H4" s="16">
        <v>283</v>
      </c>
      <c r="I4" s="17">
        <f t="shared" ref="I4:I17" si="0">IF(H4="","",(IF($C$20&lt;25%,"n/a",IF(H4&lt;=($D$20+$A$20),H4,"Descartado"))))</f>
        <v>283</v>
      </c>
    </row>
    <row r="5" spans="1:9" x14ac:dyDescent="0.25">
      <c r="A5" s="111"/>
      <c r="B5" s="107"/>
      <c r="C5" s="108"/>
      <c r="D5" s="108"/>
      <c r="E5" s="109"/>
      <c r="F5" s="109"/>
      <c r="G5" s="5" t="s">
        <v>114</v>
      </c>
      <c r="H5" s="16">
        <v>896</v>
      </c>
      <c r="I5" s="17" t="str">
        <f t="shared" si="0"/>
        <v>Descartado</v>
      </c>
    </row>
    <row r="6" spans="1:9" x14ac:dyDescent="0.25">
      <c r="A6" s="111"/>
      <c r="B6" s="107"/>
      <c r="C6" s="108"/>
      <c r="D6" s="108"/>
      <c r="E6" s="109"/>
      <c r="F6" s="109"/>
      <c r="G6" s="5" t="s">
        <v>68</v>
      </c>
      <c r="H6" s="16">
        <v>949</v>
      </c>
      <c r="I6" s="17" t="str">
        <f t="shared" si="0"/>
        <v>Descartado</v>
      </c>
    </row>
    <row r="7" spans="1:9" x14ac:dyDescent="0.25">
      <c r="A7" s="111"/>
      <c r="B7" s="107"/>
      <c r="C7" s="108"/>
      <c r="D7" s="108"/>
      <c r="E7" s="109"/>
      <c r="F7" s="109"/>
      <c r="G7" s="5" t="s">
        <v>115</v>
      </c>
      <c r="H7" s="16">
        <v>1100</v>
      </c>
      <c r="I7" s="17" t="str">
        <f t="shared" si="0"/>
        <v>Descartado</v>
      </c>
    </row>
    <row r="8" spans="1:9" x14ac:dyDescent="0.25">
      <c r="A8" s="111"/>
      <c r="B8" s="107"/>
      <c r="C8" s="108"/>
      <c r="D8" s="108"/>
      <c r="E8" s="109"/>
      <c r="F8" s="109"/>
      <c r="G8" s="5" t="s">
        <v>116</v>
      </c>
      <c r="H8" s="16">
        <v>412</v>
      </c>
      <c r="I8" s="17">
        <f t="shared" si="0"/>
        <v>412</v>
      </c>
    </row>
    <row r="9" spans="1:9" x14ac:dyDescent="0.25">
      <c r="A9" s="111"/>
      <c r="B9" s="107"/>
      <c r="C9" s="108"/>
      <c r="D9" s="108"/>
      <c r="E9" s="109"/>
      <c r="F9" s="109"/>
      <c r="G9" s="5" t="s">
        <v>117</v>
      </c>
      <c r="H9" s="16">
        <v>328.87</v>
      </c>
      <c r="I9" s="17">
        <f t="shared" si="0"/>
        <v>328.87</v>
      </c>
    </row>
    <row r="10" spans="1:9" x14ac:dyDescent="0.25">
      <c r="A10" s="111"/>
      <c r="B10" s="107"/>
      <c r="C10" s="108"/>
      <c r="D10" s="108"/>
      <c r="E10" s="109"/>
      <c r="F10" s="109"/>
      <c r="G10" s="5" t="s">
        <v>118</v>
      </c>
      <c r="H10" s="16">
        <v>250</v>
      </c>
      <c r="I10" s="17">
        <f t="shared" si="0"/>
        <v>250</v>
      </c>
    </row>
    <row r="11" spans="1:9" x14ac:dyDescent="0.25">
      <c r="A11" s="111"/>
      <c r="B11" s="107"/>
      <c r="C11" s="108"/>
      <c r="D11" s="108"/>
      <c r="E11" s="109"/>
      <c r="F11" s="109"/>
      <c r="G11" s="5" t="s">
        <v>119</v>
      </c>
      <c r="H11" s="16">
        <v>143.76</v>
      </c>
      <c r="I11" s="17">
        <f t="shared" si="0"/>
        <v>143.76</v>
      </c>
    </row>
    <row r="12" spans="1:9" x14ac:dyDescent="0.25">
      <c r="A12" s="111"/>
      <c r="B12" s="107"/>
      <c r="C12" s="108"/>
      <c r="D12" s="108"/>
      <c r="E12" s="109"/>
      <c r="F12" s="109"/>
      <c r="G12" s="5" t="s">
        <v>98</v>
      </c>
      <c r="H12" s="16">
        <v>583.65</v>
      </c>
      <c r="I12" s="17">
        <f t="shared" si="0"/>
        <v>583.65</v>
      </c>
    </row>
    <row r="13" spans="1:9" x14ac:dyDescent="0.25">
      <c r="A13" s="111"/>
      <c r="B13" s="107"/>
      <c r="C13" s="108"/>
      <c r="D13" s="108"/>
      <c r="E13" s="109"/>
      <c r="F13" s="109"/>
      <c r="G13" s="5" t="s">
        <v>120</v>
      </c>
      <c r="H13" s="16">
        <v>376.2</v>
      </c>
      <c r="I13" s="17">
        <f t="shared" si="0"/>
        <v>376.2</v>
      </c>
    </row>
    <row r="14" spans="1:9" x14ac:dyDescent="0.25">
      <c r="A14" s="111"/>
      <c r="B14" s="107"/>
      <c r="C14" s="108"/>
      <c r="D14" s="108"/>
      <c r="E14" s="109"/>
      <c r="F14" s="109"/>
      <c r="G14" s="5" t="s">
        <v>171</v>
      </c>
      <c r="H14" s="16">
        <v>171.03</v>
      </c>
      <c r="I14" s="17">
        <f t="shared" si="0"/>
        <v>171.03</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12</v>
      </c>
      <c r="B3" s="106" t="s">
        <v>42</v>
      </c>
      <c r="C3" s="108" t="s">
        <v>7</v>
      </c>
      <c r="D3" s="108">
        <v>1</v>
      </c>
      <c r="E3" s="109">
        <f>IF(C20&lt;=25%,D20,MIN(E20:F20))</f>
        <v>808.95</v>
      </c>
      <c r="F3" s="109">
        <f>MIN(H3:H17)</f>
        <v>289.89999999999998</v>
      </c>
      <c r="G3" s="5" t="s">
        <v>100</v>
      </c>
      <c r="H3" s="16">
        <v>761.9</v>
      </c>
      <c r="I3" s="17">
        <f>IF(H3="","",(IF($C$20&lt;25%,"n/a",IF(H3&lt;=($D$20+$A$20),H3,"Descartado"))))</f>
        <v>761.9</v>
      </c>
    </row>
    <row r="4" spans="1:9" x14ac:dyDescent="0.25">
      <c r="A4" s="111"/>
      <c r="B4" s="107"/>
      <c r="C4" s="108"/>
      <c r="D4" s="108"/>
      <c r="E4" s="109"/>
      <c r="F4" s="109"/>
      <c r="G4" s="5" t="s">
        <v>121</v>
      </c>
      <c r="H4" s="16">
        <v>748</v>
      </c>
      <c r="I4" s="17">
        <f t="shared" ref="I4:I17" si="0">IF(H4="","",(IF($C$20&lt;25%,"n/a",IF(H4&lt;=($D$20+$A$20),H4,"Descartado"))))</f>
        <v>748</v>
      </c>
    </row>
    <row r="5" spans="1:9" x14ac:dyDescent="0.25">
      <c r="A5" s="111"/>
      <c r="B5" s="107"/>
      <c r="C5" s="108"/>
      <c r="D5" s="108"/>
      <c r="E5" s="109"/>
      <c r="F5" s="109"/>
      <c r="G5" s="5" t="s">
        <v>107</v>
      </c>
      <c r="H5" s="16">
        <v>1880</v>
      </c>
      <c r="I5" s="17" t="str">
        <f t="shared" si="0"/>
        <v>Descartado</v>
      </c>
    </row>
    <row r="6" spans="1:9" x14ac:dyDescent="0.25">
      <c r="A6" s="111"/>
      <c r="B6" s="107"/>
      <c r="C6" s="108"/>
      <c r="D6" s="108"/>
      <c r="E6" s="109"/>
      <c r="F6" s="109"/>
      <c r="G6" s="5" t="s">
        <v>122</v>
      </c>
      <c r="H6" s="16">
        <v>1084.05</v>
      </c>
      <c r="I6" s="17">
        <f t="shared" si="0"/>
        <v>1084.05</v>
      </c>
    </row>
    <row r="7" spans="1:9" x14ac:dyDescent="0.25">
      <c r="A7" s="111"/>
      <c r="B7" s="107"/>
      <c r="C7" s="108"/>
      <c r="D7" s="108"/>
      <c r="E7" s="109"/>
      <c r="F7" s="109"/>
      <c r="G7" s="5" t="s">
        <v>123</v>
      </c>
      <c r="H7" s="16">
        <v>1178</v>
      </c>
      <c r="I7" s="17">
        <f t="shared" si="0"/>
        <v>1178</v>
      </c>
    </row>
    <row r="8" spans="1:9" x14ac:dyDescent="0.25">
      <c r="A8" s="111"/>
      <c r="B8" s="107"/>
      <c r="C8" s="108"/>
      <c r="D8" s="108"/>
      <c r="E8" s="109"/>
      <c r="F8" s="109"/>
      <c r="G8" s="5" t="s">
        <v>124</v>
      </c>
      <c r="H8" s="16">
        <v>1500</v>
      </c>
      <c r="I8" s="17" t="str">
        <f t="shared" si="0"/>
        <v>Descartado</v>
      </c>
    </row>
    <row r="9" spans="1:9" x14ac:dyDescent="0.25">
      <c r="A9" s="111"/>
      <c r="B9" s="107"/>
      <c r="C9" s="108"/>
      <c r="D9" s="108"/>
      <c r="E9" s="109"/>
      <c r="F9" s="109"/>
      <c r="G9" s="5" t="s">
        <v>125</v>
      </c>
      <c r="H9" s="16">
        <v>859</v>
      </c>
      <c r="I9" s="17">
        <f t="shared" si="0"/>
        <v>859</v>
      </c>
    </row>
    <row r="10" spans="1:9" x14ac:dyDescent="0.25">
      <c r="A10" s="111"/>
      <c r="B10" s="107"/>
      <c r="C10" s="108"/>
      <c r="D10" s="108"/>
      <c r="E10" s="109"/>
      <c r="F10" s="109"/>
      <c r="G10" s="5" t="s">
        <v>126</v>
      </c>
      <c r="H10" s="16">
        <v>673.78</v>
      </c>
      <c r="I10" s="17">
        <f t="shared" si="0"/>
        <v>673.78</v>
      </c>
    </row>
    <row r="11" spans="1:9" x14ac:dyDescent="0.25">
      <c r="A11" s="111"/>
      <c r="B11" s="107"/>
      <c r="C11" s="108"/>
      <c r="D11" s="108"/>
      <c r="E11" s="109"/>
      <c r="F11" s="109"/>
      <c r="G11" s="5" t="s">
        <v>179</v>
      </c>
      <c r="H11" s="16">
        <v>877</v>
      </c>
      <c r="I11" s="17">
        <f t="shared" si="0"/>
        <v>877</v>
      </c>
    </row>
    <row r="12" spans="1:9" x14ac:dyDescent="0.25">
      <c r="A12" s="111"/>
      <c r="B12" s="107"/>
      <c r="C12" s="108"/>
      <c r="D12" s="108"/>
      <c r="E12" s="109"/>
      <c r="F12" s="109"/>
      <c r="G12" s="5" t="s">
        <v>180</v>
      </c>
      <c r="H12" s="16">
        <v>289.89999999999998</v>
      </c>
      <c r="I12" s="17">
        <f t="shared" si="0"/>
        <v>289.89999999999998</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13</v>
      </c>
      <c r="B3" s="106" t="s">
        <v>43</v>
      </c>
      <c r="C3" s="108" t="s">
        <v>7</v>
      </c>
      <c r="D3" s="108">
        <v>2</v>
      </c>
      <c r="E3" s="109">
        <f>IF(C20&lt;=25%,D20,MIN(E20:F20))</f>
        <v>733.15</v>
      </c>
      <c r="F3" s="109">
        <f>MIN(H3:H17)</f>
        <v>530</v>
      </c>
      <c r="G3" s="5" t="s">
        <v>127</v>
      </c>
      <c r="H3" s="16">
        <v>2799.98</v>
      </c>
      <c r="I3" s="17" t="str">
        <f>IF(H3="","",(IF($C$20&lt;25%,"n/a",IF(H3&lt;=($D$20+$A$20),H3,"Descartado"))))</f>
        <v>Descartado</v>
      </c>
    </row>
    <row r="4" spans="1:9" x14ac:dyDescent="0.25">
      <c r="A4" s="111"/>
      <c r="B4" s="107"/>
      <c r="C4" s="108"/>
      <c r="D4" s="108"/>
      <c r="E4" s="109"/>
      <c r="F4" s="109"/>
      <c r="G4" s="5" t="s">
        <v>128</v>
      </c>
      <c r="H4" s="16">
        <v>839.76</v>
      </c>
      <c r="I4" s="17">
        <f t="shared" ref="I4:I17" si="0">IF(H4="","",(IF($C$20&lt;25%,"n/a",IF(H4&lt;=($D$20+$A$20),H4,"Descartado"))))</f>
        <v>839.76</v>
      </c>
    </row>
    <row r="5" spans="1:9" x14ac:dyDescent="0.25">
      <c r="A5" s="111"/>
      <c r="B5" s="107"/>
      <c r="C5" s="108"/>
      <c r="D5" s="108"/>
      <c r="E5" s="109"/>
      <c r="F5" s="109"/>
      <c r="G5" s="5" t="s">
        <v>129</v>
      </c>
      <c r="H5" s="16">
        <v>657.09</v>
      </c>
      <c r="I5" s="17">
        <f t="shared" si="0"/>
        <v>657.09</v>
      </c>
    </row>
    <row r="6" spans="1:9" x14ac:dyDescent="0.25">
      <c r="A6" s="111"/>
      <c r="B6" s="107"/>
      <c r="C6" s="108"/>
      <c r="D6" s="108"/>
      <c r="E6" s="109"/>
      <c r="F6" s="109"/>
      <c r="G6" s="5" t="s">
        <v>97</v>
      </c>
      <c r="H6" s="16">
        <v>939</v>
      </c>
      <c r="I6" s="17">
        <f t="shared" si="0"/>
        <v>939</v>
      </c>
    </row>
    <row r="7" spans="1:9" x14ac:dyDescent="0.25">
      <c r="A7" s="111"/>
      <c r="B7" s="107"/>
      <c r="C7" s="108"/>
      <c r="D7" s="108"/>
      <c r="E7" s="109"/>
      <c r="F7" s="109"/>
      <c r="G7" s="5" t="s">
        <v>181</v>
      </c>
      <c r="H7" s="16">
        <v>530</v>
      </c>
      <c r="I7" s="17">
        <f t="shared" si="0"/>
        <v>530</v>
      </c>
    </row>
    <row r="8" spans="1:9" x14ac:dyDescent="0.25">
      <c r="A8" s="111"/>
      <c r="B8" s="107"/>
      <c r="C8" s="108"/>
      <c r="D8" s="108"/>
      <c r="E8" s="109"/>
      <c r="F8" s="109"/>
      <c r="G8" s="5" t="s">
        <v>182</v>
      </c>
      <c r="H8" s="16">
        <v>699.9</v>
      </c>
      <c r="I8" s="17">
        <f t="shared" si="0"/>
        <v>699.9</v>
      </c>
    </row>
    <row r="9" spans="1:9" x14ac:dyDescent="0.25">
      <c r="A9" s="111"/>
      <c r="B9" s="107"/>
      <c r="C9" s="108"/>
      <c r="D9" s="108"/>
      <c r="E9" s="109"/>
      <c r="F9" s="109"/>
      <c r="G9" s="5"/>
      <c r="H9" s="16"/>
      <c r="I9" s="17" t="str">
        <f t="shared" si="0"/>
        <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14</v>
      </c>
      <c r="B3" s="106" t="s">
        <v>44</v>
      </c>
      <c r="C3" s="108" t="s">
        <v>7</v>
      </c>
      <c r="D3" s="108">
        <v>2</v>
      </c>
      <c r="E3" s="109">
        <f>IF(C20&lt;=25%,D20,MIN(E20:F20))</f>
        <v>450</v>
      </c>
      <c r="F3" s="109">
        <f>MIN(H3:H17)</f>
        <v>305</v>
      </c>
      <c r="G3" s="5" t="s">
        <v>130</v>
      </c>
      <c r="H3" s="16">
        <v>450</v>
      </c>
      <c r="I3" s="17">
        <f>IF(H3="","",(IF($C$20&lt;25%,"n/a",IF(H3&lt;=($D$20+$A$20),H3,"Descartado"))))</f>
        <v>450</v>
      </c>
    </row>
    <row r="4" spans="1:9" x14ac:dyDescent="0.25">
      <c r="A4" s="111"/>
      <c r="B4" s="107"/>
      <c r="C4" s="108"/>
      <c r="D4" s="108"/>
      <c r="E4" s="109"/>
      <c r="F4" s="109"/>
      <c r="G4" s="5" t="s">
        <v>131</v>
      </c>
      <c r="H4" s="16">
        <v>425.7</v>
      </c>
      <c r="I4" s="17">
        <f t="shared" ref="I4:I17" si="0">IF(H4="","",(IF($C$20&lt;25%,"n/a",IF(H4&lt;=($D$20+$A$20),H4,"Descartado"))))</f>
        <v>425.7</v>
      </c>
    </row>
    <row r="5" spans="1:9" x14ac:dyDescent="0.25">
      <c r="A5" s="111"/>
      <c r="B5" s="107"/>
      <c r="C5" s="108"/>
      <c r="D5" s="108"/>
      <c r="E5" s="109"/>
      <c r="F5" s="109"/>
      <c r="G5" s="5" t="s">
        <v>102</v>
      </c>
      <c r="H5" s="16">
        <v>471.67</v>
      </c>
      <c r="I5" s="17">
        <f t="shared" si="0"/>
        <v>471.67</v>
      </c>
    </row>
    <row r="6" spans="1:9" x14ac:dyDescent="0.25">
      <c r="A6" s="111"/>
      <c r="B6" s="107"/>
      <c r="C6" s="108"/>
      <c r="D6" s="108"/>
      <c r="E6" s="109"/>
      <c r="F6" s="109"/>
      <c r="G6" s="5" t="s">
        <v>104</v>
      </c>
      <c r="H6" s="16">
        <v>749.5</v>
      </c>
      <c r="I6" s="17">
        <f t="shared" si="0"/>
        <v>749.5</v>
      </c>
    </row>
    <row r="7" spans="1:9" x14ac:dyDescent="0.25">
      <c r="A7" s="111"/>
      <c r="B7" s="107"/>
      <c r="C7" s="108"/>
      <c r="D7" s="108"/>
      <c r="E7" s="109"/>
      <c r="F7" s="109"/>
      <c r="G7" s="5" t="s">
        <v>132</v>
      </c>
      <c r="H7" s="16">
        <v>4000</v>
      </c>
      <c r="I7" s="17" t="str">
        <f t="shared" si="0"/>
        <v>Descartado</v>
      </c>
    </row>
    <row r="8" spans="1:9" x14ac:dyDescent="0.25">
      <c r="A8" s="111"/>
      <c r="B8" s="107"/>
      <c r="C8" s="108"/>
      <c r="D8" s="108"/>
      <c r="E8" s="109"/>
      <c r="F8" s="109"/>
      <c r="G8" s="5" t="s">
        <v>133</v>
      </c>
      <c r="H8" s="16">
        <v>305</v>
      </c>
      <c r="I8" s="17">
        <f t="shared" si="0"/>
        <v>305</v>
      </c>
    </row>
    <row r="9" spans="1:9" x14ac:dyDescent="0.25">
      <c r="A9" s="111"/>
      <c r="B9" s="107"/>
      <c r="C9" s="108"/>
      <c r="D9" s="108"/>
      <c r="E9" s="109"/>
      <c r="F9" s="109"/>
      <c r="G9" s="5" t="s">
        <v>172</v>
      </c>
      <c r="H9" s="16">
        <v>441</v>
      </c>
      <c r="I9" s="17">
        <f t="shared" si="0"/>
        <v>441</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15</v>
      </c>
      <c r="B3" s="106" t="s">
        <v>45</v>
      </c>
      <c r="C3" s="108" t="s">
        <v>7</v>
      </c>
      <c r="D3" s="108">
        <v>1</v>
      </c>
      <c r="E3" s="109">
        <f>IF(C20&lt;=25%,D20,MIN(E20:F20))</f>
        <v>793.68</v>
      </c>
      <c r="F3" s="109">
        <f>MIN(H3:H17)</f>
        <v>747.75</v>
      </c>
      <c r="G3" s="5" t="s">
        <v>134</v>
      </c>
      <c r="H3" s="16">
        <v>839.6</v>
      </c>
      <c r="I3" s="17">
        <f>IF(H3="","",(IF($C$20&lt;25%,"n/a",IF(H3&lt;=($D$20+$A$20),H3,"Descartado"))))</f>
        <v>839.6</v>
      </c>
    </row>
    <row r="4" spans="1:9" x14ac:dyDescent="0.25">
      <c r="A4" s="111"/>
      <c r="B4" s="107"/>
      <c r="C4" s="108"/>
      <c r="D4" s="108"/>
      <c r="E4" s="109"/>
      <c r="F4" s="109"/>
      <c r="G4" s="5" t="s">
        <v>135</v>
      </c>
      <c r="H4" s="16">
        <v>747.75</v>
      </c>
      <c r="I4" s="17">
        <f t="shared" ref="I4:I17" si="0">IF(H4="","",(IF($C$20&lt;25%,"n/a",IF(H4&lt;=($D$20+$A$20),H4,"Descartado"))))</f>
        <v>747.75</v>
      </c>
    </row>
    <row r="5" spans="1:9" x14ac:dyDescent="0.25">
      <c r="A5" s="111"/>
      <c r="B5" s="107"/>
      <c r="C5" s="108"/>
      <c r="D5" s="108"/>
      <c r="E5" s="109"/>
      <c r="F5" s="109"/>
      <c r="G5" s="5" t="s">
        <v>172</v>
      </c>
      <c r="H5" s="16">
        <v>1201.19</v>
      </c>
      <c r="I5" s="17" t="str">
        <f t="shared" si="0"/>
        <v>Descartado</v>
      </c>
    </row>
    <row r="6" spans="1:9" x14ac:dyDescent="0.25">
      <c r="A6" s="111"/>
      <c r="B6" s="107"/>
      <c r="C6" s="108"/>
      <c r="D6" s="108"/>
      <c r="E6" s="109"/>
      <c r="F6" s="109"/>
      <c r="G6" s="5"/>
      <c r="H6" s="16"/>
      <c r="I6" s="17" t="str">
        <f t="shared" si="0"/>
        <v/>
      </c>
    </row>
    <row r="7" spans="1:9" x14ac:dyDescent="0.25">
      <c r="A7" s="111"/>
      <c r="B7" s="107"/>
      <c r="C7" s="108"/>
      <c r="D7" s="108"/>
      <c r="E7" s="109"/>
      <c r="F7" s="109"/>
      <c r="G7" s="5"/>
      <c r="H7" s="16"/>
      <c r="I7" s="17" t="str">
        <f t="shared" si="0"/>
        <v/>
      </c>
    </row>
    <row r="8" spans="1:9" x14ac:dyDescent="0.25">
      <c r="A8" s="111"/>
      <c r="B8" s="107"/>
      <c r="C8" s="108"/>
      <c r="D8" s="108"/>
      <c r="E8" s="109"/>
      <c r="F8" s="109"/>
      <c r="G8" s="5"/>
      <c r="H8" s="16"/>
      <c r="I8" s="17" t="str">
        <f t="shared" si="0"/>
        <v/>
      </c>
    </row>
    <row r="9" spans="1:9" x14ac:dyDescent="0.25">
      <c r="A9" s="111"/>
      <c r="B9" s="107"/>
      <c r="C9" s="108"/>
      <c r="D9" s="108"/>
      <c r="E9" s="109"/>
      <c r="F9" s="109"/>
      <c r="G9" s="5"/>
      <c r="H9" s="16"/>
      <c r="I9" s="17" t="str">
        <f t="shared" si="0"/>
        <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16</v>
      </c>
      <c r="B3" s="106" t="s">
        <v>46</v>
      </c>
      <c r="C3" s="108" t="s">
        <v>7</v>
      </c>
      <c r="D3" s="108">
        <v>1</v>
      </c>
      <c r="E3" s="109">
        <f>IF(C20&lt;=25%,D20,MIN(E20:F20))</f>
        <v>2798</v>
      </c>
      <c r="F3" s="109">
        <f>MIN(H3:H17)</f>
        <v>1999</v>
      </c>
      <c r="G3" s="5" t="s">
        <v>136</v>
      </c>
      <c r="H3" s="16">
        <v>43500</v>
      </c>
      <c r="I3" s="17" t="str">
        <f>IF(H3="","",(IF($C$20&lt;25%,"n/a",IF(H3&lt;=($D$20+$A$20),H3,"Descartado"))))</f>
        <v>Descartado</v>
      </c>
    </row>
    <row r="4" spans="1:9" x14ac:dyDescent="0.25">
      <c r="A4" s="111"/>
      <c r="B4" s="107"/>
      <c r="C4" s="108"/>
      <c r="D4" s="108"/>
      <c r="E4" s="109"/>
      <c r="F4" s="109"/>
      <c r="G4" s="5" t="s">
        <v>137</v>
      </c>
      <c r="H4" s="16">
        <v>3750</v>
      </c>
      <c r="I4" s="17">
        <f t="shared" ref="I4:I17" si="0">IF(H4="","",(IF($C$20&lt;25%,"n/a",IF(H4&lt;=($D$20+$A$20),H4,"Descartado"))))</f>
        <v>3750</v>
      </c>
    </row>
    <row r="5" spans="1:9" x14ac:dyDescent="0.25">
      <c r="A5" s="111"/>
      <c r="B5" s="107"/>
      <c r="C5" s="108"/>
      <c r="D5" s="108"/>
      <c r="E5" s="109"/>
      <c r="F5" s="109"/>
      <c r="G5" s="5" t="s">
        <v>138</v>
      </c>
      <c r="H5" s="16">
        <v>2000</v>
      </c>
      <c r="I5" s="17">
        <f t="shared" si="0"/>
        <v>2000</v>
      </c>
    </row>
    <row r="6" spans="1:9" x14ac:dyDescent="0.25">
      <c r="A6" s="111"/>
      <c r="B6" s="107"/>
      <c r="C6" s="108"/>
      <c r="D6" s="108"/>
      <c r="E6" s="109"/>
      <c r="F6" s="109"/>
      <c r="G6" s="5" t="s">
        <v>139</v>
      </c>
      <c r="H6" s="16">
        <v>19250</v>
      </c>
      <c r="I6" s="17">
        <f t="shared" si="0"/>
        <v>19250</v>
      </c>
    </row>
    <row r="7" spans="1:9" x14ac:dyDescent="0.25">
      <c r="A7" s="111"/>
      <c r="B7" s="107"/>
      <c r="C7" s="108"/>
      <c r="D7" s="108"/>
      <c r="E7" s="109"/>
      <c r="F7" s="109"/>
      <c r="G7" s="5" t="s">
        <v>171</v>
      </c>
      <c r="H7" s="16">
        <v>2778.37</v>
      </c>
      <c r="I7" s="17">
        <f t="shared" si="0"/>
        <v>2778.37</v>
      </c>
    </row>
    <row r="8" spans="1:9" x14ac:dyDescent="0.25">
      <c r="A8" s="111"/>
      <c r="B8" s="107"/>
      <c r="C8" s="108"/>
      <c r="D8" s="108"/>
      <c r="E8" s="109"/>
      <c r="F8" s="109"/>
      <c r="G8" s="5" t="s">
        <v>183</v>
      </c>
      <c r="H8" s="16">
        <v>1999</v>
      </c>
      <c r="I8" s="17">
        <f t="shared" si="0"/>
        <v>1999</v>
      </c>
    </row>
    <row r="9" spans="1:9" x14ac:dyDescent="0.25">
      <c r="A9" s="111"/>
      <c r="B9" s="107"/>
      <c r="C9" s="108"/>
      <c r="D9" s="108"/>
      <c r="E9" s="109"/>
      <c r="F9" s="109"/>
      <c r="G9" s="5" t="s">
        <v>184</v>
      </c>
      <c r="H9" s="16">
        <v>2798</v>
      </c>
      <c r="I9" s="17">
        <f t="shared" si="0"/>
        <v>2798</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17</v>
      </c>
      <c r="B3" s="106" t="s">
        <v>47</v>
      </c>
      <c r="C3" s="108" t="s">
        <v>7</v>
      </c>
      <c r="D3" s="108">
        <v>1</v>
      </c>
      <c r="E3" s="109">
        <f>IF(C20&lt;=25%,D20,MIN(E20:F20))</f>
        <v>420.75</v>
      </c>
      <c r="F3" s="109">
        <f>MIN(H3:H17)</f>
        <v>259.99</v>
      </c>
      <c r="G3" s="5" t="s">
        <v>140</v>
      </c>
      <c r="H3" s="16">
        <v>277.01</v>
      </c>
      <c r="I3" s="17">
        <f>IF(H3="","",(IF($C$20&lt;25%,"n/a",IF(H3&lt;=($D$20+$A$20),H3,"Descartado"))))</f>
        <v>277.01</v>
      </c>
    </row>
    <row r="4" spans="1:9" x14ac:dyDescent="0.25">
      <c r="A4" s="111"/>
      <c r="B4" s="107"/>
      <c r="C4" s="108"/>
      <c r="D4" s="108"/>
      <c r="E4" s="109"/>
      <c r="F4" s="109"/>
      <c r="G4" s="5" t="s">
        <v>141</v>
      </c>
      <c r="H4" s="16">
        <v>319</v>
      </c>
      <c r="I4" s="17">
        <f t="shared" ref="I4:I17" si="0">IF(H4="","",(IF($C$20&lt;25%,"n/a",IF(H4&lt;=($D$20+$A$20),H4,"Descartado"))))</f>
        <v>319</v>
      </c>
    </row>
    <row r="5" spans="1:9" x14ac:dyDescent="0.25">
      <c r="A5" s="111"/>
      <c r="B5" s="107"/>
      <c r="C5" s="108"/>
      <c r="D5" s="108"/>
      <c r="E5" s="109"/>
      <c r="F5" s="109"/>
      <c r="G5" s="5" t="s">
        <v>142</v>
      </c>
      <c r="H5" s="16">
        <v>308.55</v>
      </c>
      <c r="I5" s="17">
        <f t="shared" si="0"/>
        <v>308.55</v>
      </c>
    </row>
    <row r="6" spans="1:9" x14ac:dyDescent="0.25">
      <c r="A6" s="111"/>
      <c r="B6" s="107"/>
      <c r="C6" s="108"/>
      <c r="D6" s="108"/>
      <c r="E6" s="109"/>
      <c r="F6" s="109"/>
      <c r="G6" s="5" t="s">
        <v>69</v>
      </c>
      <c r="H6" s="16">
        <v>637.03</v>
      </c>
      <c r="I6" s="17">
        <f t="shared" si="0"/>
        <v>637.03</v>
      </c>
    </row>
    <row r="7" spans="1:9" x14ac:dyDescent="0.25">
      <c r="A7" s="111"/>
      <c r="B7" s="107"/>
      <c r="C7" s="108"/>
      <c r="D7" s="108"/>
      <c r="E7" s="109"/>
      <c r="F7" s="109"/>
      <c r="G7" s="5" t="s">
        <v>143</v>
      </c>
      <c r="H7" s="16">
        <v>4678</v>
      </c>
      <c r="I7" s="17" t="str">
        <f t="shared" si="0"/>
        <v>Descartado</v>
      </c>
    </row>
    <row r="8" spans="1:9" x14ac:dyDescent="0.25">
      <c r="A8" s="111"/>
      <c r="B8" s="107"/>
      <c r="C8" s="108"/>
      <c r="D8" s="108"/>
      <c r="E8" s="109"/>
      <c r="F8" s="109"/>
      <c r="G8" s="5" t="s">
        <v>111</v>
      </c>
      <c r="H8" s="16">
        <v>573.75</v>
      </c>
      <c r="I8" s="17">
        <f t="shared" si="0"/>
        <v>573.75</v>
      </c>
    </row>
    <row r="9" spans="1:9" x14ac:dyDescent="0.25">
      <c r="A9" s="111"/>
      <c r="B9" s="107"/>
      <c r="C9" s="108"/>
      <c r="D9" s="108"/>
      <c r="E9" s="109"/>
      <c r="F9" s="109"/>
      <c r="G9" s="5" t="s">
        <v>179</v>
      </c>
      <c r="H9" s="16">
        <v>259.99</v>
      </c>
      <c r="I9" s="17">
        <f t="shared" si="0"/>
        <v>259.99</v>
      </c>
    </row>
    <row r="10" spans="1:9" x14ac:dyDescent="0.25">
      <c r="A10" s="111"/>
      <c r="B10" s="107"/>
      <c r="C10" s="108"/>
      <c r="D10" s="108"/>
      <c r="E10" s="109"/>
      <c r="F10" s="109"/>
      <c r="G10" s="5" t="s">
        <v>185</v>
      </c>
      <c r="H10" s="16">
        <v>569.91</v>
      </c>
      <c r="I10" s="17">
        <f t="shared" si="0"/>
        <v>569.91</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18</v>
      </c>
      <c r="B3" s="106" t="s">
        <v>48</v>
      </c>
      <c r="C3" s="108" t="s">
        <v>7</v>
      </c>
      <c r="D3" s="108">
        <v>1</v>
      </c>
      <c r="E3" s="109">
        <f>IF(C20&lt;=25%,D20,MIN(E20:F20))</f>
        <v>93.27</v>
      </c>
      <c r="F3" s="109">
        <f>MIN(H3:H17)</f>
        <v>31.88</v>
      </c>
      <c r="G3" s="5" t="s">
        <v>144</v>
      </c>
      <c r="H3" s="16">
        <v>60</v>
      </c>
      <c r="I3" s="17">
        <f>IF(H3="","",(IF($C$20&lt;25%,"n/a",IF(H3&lt;=($D$20+$A$20),H3,"Descartado"))))</f>
        <v>60</v>
      </c>
    </row>
    <row r="4" spans="1:9" x14ac:dyDescent="0.25">
      <c r="A4" s="111"/>
      <c r="B4" s="107"/>
      <c r="C4" s="108"/>
      <c r="D4" s="108"/>
      <c r="E4" s="109"/>
      <c r="F4" s="109"/>
      <c r="G4" s="5" t="s">
        <v>145</v>
      </c>
      <c r="H4" s="16">
        <v>212.4</v>
      </c>
      <c r="I4" s="17">
        <f t="shared" ref="I4:I17" si="0">IF(H4="","",(IF($C$20&lt;25%,"n/a",IF(H4&lt;=($D$20+$A$20),H4,"Descartado"))))</f>
        <v>212.4</v>
      </c>
    </row>
    <row r="5" spans="1:9" x14ac:dyDescent="0.25">
      <c r="A5" s="111"/>
      <c r="B5" s="107"/>
      <c r="C5" s="108"/>
      <c r="D5" s="108"/>
      <c r="E5" s="109"/>
      <c r="F5" s="109"/>
      <c r="G5" s="5" t="s">
        <v>146</v>
      </c>
      <c r="H5" s="16">
        <v>34.99</v>
      </c>
      <c r="I5" s="17">
        <f t="shared" si="0"/>
        <v>34.99</v>
      </c>
    </row>
    <row r="6" spans="1:9" x14ac:dyDescent="0.25">
      <c r="A6" s="111"/>
      <c r="B6" s="107"/>
      <c r="C6" s="108"/>
      <c r="D6" s="108"/>
      <c r="E6" s="109"/>
      <c r="F6" s="109"/>
      <c r="G6" s="5" t="s">
        <v>147</v>
      </c>
      <c r="H6" s="16">
        <v>31.88</v>
      </c>
      <c r="I6" s="17">
        <f t="shared" si="0"/>
        <v>31.88</v>
      </c>
    </row>
    <row r="7" spans="1:9" x14ac:dyDescent="0.25">
      <c r="A7" s="111"/>
      <c r="B7" s="107"/>
      <c r="C7" s="108"/>
      <c r="D7" s="108"/>
      <c r="E7" s="109"/>
      <c r="F7" s="109"/>
      <c r="G7" s="5" t="s">
        <v>148</v>
      </c>
      <c r="H7" s="16">
        <v>157</v>
      </c>
      <c r="I7" s="17">
        <f t="shared" si="0"/>
        <v>157</v>
      </c>
    </row>
    <row r="8" spans="1:9" x14ac:dyDescent="0.25">
      <c r="A8" s="111"/>
      <c r="B8" s="107"/>
      <c r="C8" s="108"/>
      <c r="D8" s="108"/>
      <c r="E8" s="109"/>
      <c r="F8" s="109"/>
      <c r="G8" s="5" t="s">
        <v>149</v>
      </c>
      <c r="H8" s="16">
        <v>32.08</v>
      </c>
      <c r="I8" s="17">
        <f t="shared" si="0"/>
        <v>32.08</v>
      </c>
    </row>
    <row r="9" spans="1:9" x14ac:dyDescent="0.25">
      <c r="A9" s="111"/>
      <c r="B9" s="107"/>
      <c r="C9" s="108"/>
      <c r="D9" s="108"/>
      <c r="E9" s="109"/>
      <c r="F9" s="109"/>
      <c r="G9" s="5" t="s">
        <v>150</v>
      </c>
      <c r="H9" s="16">
        <v>625.9</v>
      </c>
      <c r="I9" s="17" t="str">
        <f t="shared" si="0"/>
        <v>Descartado</v>
      </c>
    </row>
    <row r="10" spans="1:9" x14ac:dyDescent="0.25">
      <c r="A10" s="111"/>
      <c r="B10" s="107"/>
      <c r="C10" s="108"/>
      <c r="D10" s="108"/>
      <c r="E10" s="109"/>
      <c r="F10" s="109"/>
      <c r="G10" s="5" t="s">
        <v>179</v>
      </c>
      <c r="H10" s="16">
        <v>115.87</v>
      </c>
      <c r="I10" s="17">
        <f t="shared" si="0"/>
        <v>115.87</v>
      </c>
    </row>
    <row r="11" spans="1:9" x14ac:dyDescent="0.25">
      <c r="A11" s="111"/>
      <c r="B11" s="107"/>
      <c r="C11" s="108"/>
      <c r="D11" s="108"/>
      <c r="E11" s="109"/>
      <c r="F11" s="109"/>
      <c r="G11" s="5" t="s">
        <v>185</v>
      </c>
      <c r="H11" s="16">
        <v>101.9</v>
      </c>
      <c r="I11" s="17">
        <f t="shared" si="0"/>
        <v>101.9</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19</v>
      </c>
      <c r="B3" s="106" t="s">
        <v>49</v>
      </c>
      <c r="C3" s="108" t="s">
        <v>7</v>
      </c>
      <c r="D3" s="108">
        <v>2</v>
      </c>
      <c r="E3" s="109">
        <f>IF(C20&lt;=25%,D20,MIN(E20:F20))</f>
        <v>741.85</v>
      </c>
      <c r="F3" s="109">
        <f>MIN(H3:H17)</f>
        <v>569.99</v>
      </c>
      <c r="G3" s="5" t="s">
        <v>179</v>
      </c>
      <c r="H3" s="16">
        <v>1096.79</v>
      </c>
      <c r="I3" s="17" t="str">
        <f>IF(H3="","",(IF($C$20&lt;25%,"n/a",IF(H3&lt;=($D$20+$A$20),H3,"Descartado"))))</f>
        <v>Descartado</v>
      </c>
    </row>
    <row r="4" spans="1:9" x14ac:dyDescent="0.25">
      <c r="A4" s="111"/>
      <c r="B4" s="107"/>
      <c r="C4" s="108"/>
      <c r="D4" s="108"/>
      <c r="E4" s="109"/>
      <c r="F4" s="109"/>
      <c r="G4" s="5" t="s">
        <v>172</v>
      </c>
      <c r="H4" s="16">
        <v>998.9</v>
      </c>
      <c r="I4" s="17">
        <f t="shared" ref="I4:I17" si="0">IF(H4="","",(IF($C$20&lt;25%,"n/a",IF(H4&lt;=($D$20+$A$20),H4,"Descartado"))))</f>
        <v>998.9</v>
      </c>
    </row>
    <row r="5" spans="1:9" x14ac:dyDescent="0.25">
      <c r="A5" s="111"/>
      <c r="B5" s="107"/>
      <c r="C5" s="108"/>
      <c r="D5" s="108"/>
      <c r="E5" s="109"/>
      <c r="F5" s="109"/>
      <c r="G5" s="5" t="s">
        <v>186</v>
      </c>
      <c r="H5" s="16">
        <v>569.99</v>
      </c>
      <c r="I5" s="17">
        <f t="shared" si="0"/>
        <v>569.99</v>
      </c>
    </row>
    <row r="6" spans="1:9" x14ac:dyDescent="0.25">
      <c r="A6" s="111"/>
      <c r="B6" s="107"/>
      <c r="C6" s="108"/>
      <c r="D6" s="108"/>
      <c r="E6" s="109"/>
      <c r="F6" s="109"/>
      <c r="G6" s="5" t="s">
        <v>187</v>
      </c>
      <c r="H6" s="16">
        <v>599</v>
      </c>
      <c r="I6" s="17">
        <f t="shared" si="0"/>
        <v>599</v>
      </c>
    </row>
    <row r="7" spans="1:9" x14ac:dyDescent="0.25">
      <c r="A7" s="111"/>
      <c r="B7" s="107"/>
      <c r="C7" s="108"/>
      <c r="D7" s="108"/>
      <c r="E7" s="109"/>
      <c r="F7" s="109"/>
      <c r="G7" s="5" t="s">
        <v>188</v>
      </c>
      <c r="H7" s="16">
        <v>799.49</v>
      </c>
      <c r="I7" s="17">
        <f t="shared" si="0"/>
        <v>799.49</v>
      </c>
    </row>
    <row r="8" spans="1:9" x14ac:dyDescent="0.25">
      <c r="A8" s="111"/>
      <c r="B8" s="107"/>
      <c r="C8" s="108"/>
      <c r="D8" s="108"/>
      <c r="E8" s="109"/>
      <c r="F8" s="109"/>
      <c r="G8" s="5"/>
      <c r="H8" s="16"/>
      <c r="I8" s="17" t="str">
        <f t="shared" si="0"/>
        <v/>
      </c>
    </row>
    <row r="9" spans="1:9" x14ac:dyDescent="0.25">
      <c r="A9" s="111"/>
      <c r="B9" s="107"/>
      <c r="C9" s="108"/>
      <c r="D9" s="108"/>
      <c r="E9" s="109"/>
      <c r="F9" s="109"/>
      <c r="G9" s="5"/>
      <c r="H9" s="16"/>
      <c r="I9" s="17" t="str">
        <f t="shared" si="0"/>
        <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2</v>
      </c>
      <c r="B3" s="106" t="s">
        <v>32</v>
      </c>
      <c r="C3" s="108" t="s">
        <v>7</v>
      </c>
      <c r="D3" s="108">
        <v>2</v>
      </c>
      <c r="E3" s="109">
        <f>IF(C20&lt;=25%,D20,MIN(E20:F20))</f>
        <v>1669.25</v>
      </c>
      <c r="F3" s="109">
        <f>MIN(H3:H17)</f>
        <v>285</v>
      </c>
      <c r="G3" s="5" t="s">
        <v>62</v>
      </c>
      <c r="H3" s="16">
        <v>2480</v>
      </c>
      <c r="I3" s="17">
        <f>IF(H3="","",(IF($C$20&lt;25%,"n/a",IF(H3&lt;=($D$20+$A$20),H3,"Descartado"))))</f>
        <v>2480</v>
      </c>
    </row>
    <row r="4" spans="1:9" x14ac:dyDescent="0.25">
      <c r="A4" s="111"/>
      <c r="B4" s="107"/>
      <c r="C4" s="108"/>
      <c r="D4" s="108"/>
      <c r="E4" s="109"/>
      <c r="F4" s="109"/>
      <c r="G4" s="5" t="s">
        <v>63</v>
      </c>
      <c r="H4" s="16">
        <v>616</v>
      </c>
      <c r="I4" s="17">
        <f t="shared" ref="I4:I17" si="0">IF(H4="","",(IF($C$20&lt;25%,"n/a",IF(H4&lt;=($D$20+$A$20),H4,"Descartado"))))</f>
        <v>616</v>
      </c>
    </row>
    <row r="5" spans="1:9" x14ac:dyDescent="0.25">
      <c r="A5" s="111"/>
      <c r="B5" s="107"/>
      <c r="C5" s="108"/>
      <c r="D5" s="108"/>
      <c r="E5" s="109"/>
      <c r="F5" s="109"/>
      <c r="G5" s="5" t="s">
        <v>64</v>
      </c>
      <c r="H5" s="16">
        <v>7900</v>
      </c>
      <c r="I5" s="17" t="str">
        <f t="shared" si="0"/>
        <v>Descartado</v>
      </c>
    </row>
    <row r="6" spans="1:9" x14ac:dyDescent="0.25">
      <c r="A6" s="111"/>
      <c r="B6" s="107"/>
      <c r="C6" s="108"/>
      <c r="D6" s="108"/>
      <c r="E6" s="109"/>
      <c r="F6" s="109"/>
      <c r="G6" s="5" t="s">
        <v>65</v>
      </c>
      <c r="H6" s="16">
        <v>285</v>
      </c>
      <c r="I6" s="17">
        <f t="shared" si="0"/>
        <v>285</v>
      </c>
    </row>
    <row r="7" spans="1:9" x14ac:dyDescent="0.25">
      <c r="A7" s="111"/>
      <c r="B7" s="107"/>
      <c r="C7" s="108"/>
      <c r="D7" s="108"/>
      <c r="E7" s="109"/>
      <c r="F7" s="109"/>
      <c r="G7" s="5" t="s">
        <v>66</v>
      </c>
      <c r="H7" s="16">
        <v>4600</v>
      </c>
      <c r="I7" s="17">
        <f t="shared" si="0"/>
        <v>4600</v>
      </c>
    </row>
    <row r="8" spans="1:9" x14ac:dyDescent="0.25">
      <c r="A8" s="111"/>
      <c r="B8" s="107"/>
      <c r="C8" s="108"/>
      <c r="D8" s="108"/>
      <c r="E8" s="109"/>
      <c r="F8" s="109"/>
      <c r="G8" s="5" t="s">
        <v>171</v>
      </c>
      <c r="H8" s="16">
        <v>1669.25</v>
      </c>
      <c r="I8" s="17">
        <f t="shared" si="0"/>
        <v>1669.25</v>
      </c>
    </row>
    <row r="9" spans="1:9" x14ac:dyDescent="0.25">
      <c r="A9" s="111"/>
      <c r="B9" s="107"/>
      <c r="C9" s="108"/>
      <c r="D9" s="108"/>
      <c r="E9" s="109"/>
      <c r="F9" s="109"/>
      <c r="G9" s="5" t="s">
        <v>172</v>
      </c>
      <c r="H9" s="16">
        <v>679.9</v>
      </c>
      <c r="I9" s="17">
        <f t="shared" si="0"/>
        <v>679.9</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20</v>
      </c>
      <c r="B3" s="106" t="s">
        <v>50</v>
      </c>
      <c r="C3" s="108" t="s">
        <v>7</v>
      </c>
      <c r="D3" s="108">
        <v>8</v>
      </c>
      <c r="E3" s="109">
        <f>IF(C20&lt;=25%,D20,MIN(E20:F20))</f>
        <v>1288.28</v>
      </c>
      <c r="F3" s="109">
        <f>MIN(H3:H17)</f>
        <v>990</v>
      </c>
      <c r="G3" s="5" t="s">
        <v>189</v>
      </c>
      <c r="H3" s="16">
        <v>990</v>
      </c>
      <c r="I3" s="17" t="str">
        <f>IF(H3="","",(IF($C$20&lt;25%,"n/a",IF(H3&lt;=($D$20+$A$20),H3,"Descartado"))))</f>
        <v>n/a</v>
      </c>
    </row>
    <row r="4" spans="1:9" x14ac:dyDescent="0.25">
      <c r="A4" s="111"/>
      <c r="B4" s="107"/>
      <c r="C4" s="108"/>
      <c r="D4" s="108"/>
      <c r="E4" s="109"/>
      <c r="F4" s="109"/>
      <c r="G4" s="5" t="s">
        <v>190</v>
      </c>
      <c r="H4" s="16">
        <v>1399</v>
      </c>
      <c r="I4" s="17" t="str">
        <f t="shared" ref="I4:I17" si="0">IF(H4="","",(IF($C$20&lt;25%,"n/a",IF(H4&lt;=($D$20+$A$20),H4,"Descartado"))))</f>
        <v>n/a</v>
      </c>
    </row>
    <row r="5" spans="1:9" x14ac:dyDescent="0.25">
      <c r="A5" s="111"/>
      <c r="B5" s="107"/>
      <c r="C5" s="108"/>
      <c r="D5" s="108"/>
      <c r="E5" s="109"/>
      <c r="F5" s="109"/>
      <c r="G5" s="5" t="s">
        <v>191</v>
      </c>
      <c r="H5" s="16">
        <v>1265.0999999999999</v>
      </c>
      <c r="I5" s="17" t="str">
        <f t="shared" si="0"/>
        <v>n/a</v>
      </c>
    </row>
    <row r="6" spans="1:9" x14ac:dyDescent="0.25">
      <c r="A6" s="111"/>
      <c r="B6" s="107"/>
      <c r="C6" s="108"/>
      <c r="D6" s="108"/>
      <c r="E6" s="109"/>
      <c r="F6" s="109"/>
      <c r="G6" s="5" t="s">
        <v>192</v>
      </c>
      <c r="H6" s="16">
        <v>1499</v>
      </c>
      <c r="I6" s="17" t="str">
        <f t="shared" si="0"/>
        <v>n/a</v>
      </c>
    </row>
    <row r="7" spans="1:9" x14ac:dyDescent="0.25">
      <c r="A7" s="111"/>
      <c r="B7" s="107"/>
      <c r="C7" s="108"/>
      <c r="D7" s="108"/>
      <c r="E7" s="109"/>
      <c r="F7" s="109"/>
      <c r="G7" s="5"/>
      <c r="H7" s="16"/>
      <c r="I7" s="17" t="str">
        <f t="shared" si="0"/>
        <v/>
      </c>
    </row>
    <row r="8" spans="1:9" x14ac:dyDescent="0.25">
      <c r="A8" s="111"/>
      <c r="B8" s="107"/>
      <c r="C8" s="108"/>
      <c r="D8" s="108"/>
      <c r="E8" s="109"/>
      <c r="F8" s="109"/>
      <c r="G8" s="5"/>
      <c r="H8" s="16"/>
      <c r="I8" s="17" t="str">
        <f t="shared" si="0"/>
        <v/>
      </c>
    </row>
    <row r="9" spans="1:9" x14ac:dyDescent="0.25">
      <c r="A9" s="111"/>
      <c r="B9" s="107"/>
      <c r="C9" s="108"/>
      <c r="D9" s="108"/>
      <c r="E9" s="109"/>
      <c r="F9" s="109"/>
      <c r="G9" s="5"/>
      <c r="H9" s="16"/>
      <c r="I9" s="17" t="str">
        <f t="shared" si="0"/>
        <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7" t="s">
        <v>1</v>
      </c>
      <c r="B2" s="7" t="s">
        <v>2</v>
      </c>
      <c r="C2" s="7" t="s">
        <v>3</v>
      </c>
      <c r="D2" s="7" t="s">
        <v>4</v>
      </c>
      <c r="E2" s="7" t="s">
        <v>9</v>
      </c>
      <c r="F2" s="7" t="s">
        <v>10</v>
      </c>
      <c r="G2" s="7" t="s">
        <v>11</v>
      </c>
      <c r="H2" s="7" t="s">
        <v>12</v>
      </c>
      <c r="I2" s="7" t="s">
        <v>13</v>
      </c>
    </row>
    <row r="3" spans="1:9" x14ac:dyDescent="0.25">
      <c r="A3" s="111">
        <v>21</v>
      </c>
      <c r="B3" s="106" t="s">
        <v>51</v>
      </c>
      <c r="C3" s="108" t="s">
        <v>7</v>
      </c>
      <c r="D3" s="108">
        <v>2</v>
      </c>
      <c r="E3" s="109">
        <f>IF(C20&lt;=25%,D20,MIN(E20:F20))</f>
        <v>454.84</v>
      </c>
      <c r="F3" s="109">
        <f>MIN(H3:H17)</f>
        <v>136</v>
      </c>
      <c r="G3" s="5" t="s">
        <v>151</v>
      </c>
      <c r="H3" s="16">
        <v>136</v>
      </c>
      <c r="I3" s="17">
        <f>IF(H3="","",(IF($C$20&lt;25%,"n/a",IF(H3&lt;=($D$20+$A$20),H3,"Descartado"))))</f>
        <v>136</v>
      </c>
    </row>
    <row r="4" spans="1:9" x14ac:dyDescent="0.25">
      <c r="A4" s="111"/>
      <c r="B4" s="107"/>
      <c r="C4" s="108"/>
      <c r="D4" s="108"/>
      <c r="E4" s="109"/>
      <c r="F4" s="109"/>
      <c r="G4" s="5" t="s">
        <v>152</v>
      </c>
      <c r="H4" s="16">
        <v>200</v>
      </c>
      <c r="I4" s="17">
        <f t="shared" ref="I4:I17" si="0">IF(H4="","",(IF($C$20&lt;25%,"n/a",IF(H4&lt;=($D$20+$A$20),H4,"Descartado"))))</f>
        <v>200</v>
      </c>
    </row>
    <row r="5" spans="1:9" x14ac:dyDescent="0.25">
      <c r="A5" s="111"/>
      <c r="B5" s="107"/>
      <c r="C5" s="108"/>
      <c r="D5" s="108"/>
      <c r="E5" s="109"/>
      <c r="F5" s="109"/>
      <c r="G5" s="5" t="s">
        <v>153</v>
      </c>
      <c r="H5" s="16">
        <v>300.99</v>
      </c>
      <c r="I5" s="17">
        <f t="shared" si="0"/>
        <v>300.99</v>
      </c>
    </row>
    <row r="6" spans="1:9" x14ac:dyDescent="0.25">
      <c r="A6" s="111"/>
      <c r="B6" s="107"/>
      <c r="C6" s="108"/>
      <c r="D6" s="108"/>
      <c r="E6" s="109"/>
      <c r="F6" s="109"/>
      <c r="G6" s="5" t="s">
        <v>154</v>
      </c>
      <c r="H6" s="16">
        <v>455</v>
      </c>
      <c r="I6" s="17">
        <f t="shared" si="0"/>
        <v>455</v>
      </c>
    </row>
    <row r="7" spans="1:9" x14ac:dyDescent="0.25">
      <c r="A7" s="111"/>
      <c r="B7" s="107"/>
      <c r="C7" s="108"/>
      <c r="D7" s="108"/>
      <c r="E7" s="109"/>
      <c r="F7" s="109"/>
      <c r="G7" s="5" t="s">
        <v>79</v>
      </c>
      <c r="H7" s="16">
        <v>554</v>
      </c>
      <c r="I7" s="17">
        <f t="shared" si="0"/>
        <v>554</v>
      </c>
    </row>
    <row r="8" spans="1:9" x14ac:dyDescent="0.25">
      <c r="A8" s="111"/>
      <c r="B8" s="107"/>
      <c r="C8" s="108"/>
      <c r="D8" s="108"/>
      <c r="E8" s="109"/>
      <c r="F8" s="109"/>
      <c r="G8" s="5" t="s">
        <v>134</v>
      </c>
      <c r="H8" s="16">
        <v>650.94000000000005</v>
      </c>
      <c r="I8" s="17">
        <f t="shared" si="0"/>
        <v>650.94000000000005</v>
      </c>
    </row>
    <row r="9" spans="1:9" x14ac:dyDescent="0.25">
      <c r="A9" s="111"/>
      <c r="B9" s="107"/>
      <c r="C9" s="108"/>
      <c r="D9" s="108"/>
      <c r="E9" s="109"/>
      <c r="F9" s="109"/>
      <c r="G9" s="5" t="s">
        <v>155</v>
      </c>
      <c r="H9" s="16">
        <v>683.75</v>
      </c>
      <c r="I9" s="17">
        <f t="shared" si="0"/>
        <v>683.75</v>
      </c>
    </row>
    <row r="10" spans="1:9" x14ac:dyDescent="0.25">
      <c r="A10" s="111"/>
      <c r="B10" s="107"/>
      <c r="C10" s="108"/>
      <c r="D10" s="108"/>
      <c r="E10" s="109"/>
      <c r="F10" s="109"/>
      <c r="G10" s="5" t="s">
        <v>156</v>
      </c>
      <c r="H10" s="16">
        <v>687</v>
      </c>
      <c r="I10" s="17">
        <f t="shared" si="0"/>
        <v>687</v>
      </c>
    </row>
    <row r="11" spans="1:9" x14ac:dyDescent="0.25">
      <c r="A11" s="111"/>
      <c r="B11" s="107"/>
      <c r="C11" s="108"/>
      <c r="D11" s="108"/>
      <c r="E11" s="109"/>
      <c r="F11" s="109"/>
      <c r="G11" s="5" t="s">
        <v>193</v>
      </c>
      <c r="H11" s="16">
        <v>565.11</v>
      </c>
      <c r="I11" s="17">
        <f t="shared" si="0"/>
        <v>565.11</v>
      </c>
    </row>
    <row r="12" spans="1:9" x14ac:dyDescent="0.25">
      <c r="A12" s="111"/>
      <c r="B12" s="107"/>
      <c r="C12" s="108"/>
      <c r="D12" s="108"/>
      <c r="E12" s="109"/>
      <c r="F12" s="109"/>
      <c r="G12" s="5" t="s">
        <v>169</v>
      </c>
      <c r="H12" s="16">
        <v>750</v>
      </c>
      <c r="I12" s="17" t="str">
        <f t="shared" si="0"/>
        <v>Descartado</v>
      </c>
    </row>
    <row r="13" spans="1:9" x14ac:dyDescent="0.25">
      <c r="A13" s="111"/>
      <c r="B13" s="107"/>
      <c r="C13" s="108"/>
      <c r="D13" s="108"/>
      <c r="E13" s="109"/>
      <c r="F13" s="109"/>
      <c r="G13" s="5" t="s">
        <v>194</v>
      </c>
      <c r="H13" s="16">
        <v>197.99</v>
      </c>
      <c r="I13" s="17">
        <f t="shared" si="0"/>
        <v>197.99</v>
      </c>
    </row>
    <row r="14" spans="1:9" x14ac:dyDescent="0.25">
      <c r="A14" s="111"/>
      <c r="B14" s="107"/>
      <c r="C14" s="108"/>
      <c r="D14" s="108"/>
      <c r="E14" s="109"/>
      <c r="F14" s="109"/>
      <c r="G14" s="5" t="s">
        <v>195</v>
      </c>
      <c r="H14" s="16">
        <v>572.5</v>
      </c>
      <c r="I14" s="17">
        <f t="shared" si="0"/>
        <v>572.5</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7" t="s">
        <v>14</v>
      </c>
      <c r="B19" s="7" t="s">
        <v>15</v>
      </c>
      <c r="C19" s="7" t="s">
        <v>25</v>
      </c>
      <c r="D19" s="7" t="s">
        <v>16</v>
      </c>
      <c r="E19" s="7" t="s">
        <v>17</v>
      </c>
      <c r="F19" s="7" t="s">
        <v>18</v>
      </c>
      <c r="G19" s="104" t="s">
        <v>19</v>
      </c>
      <c r="H19" s="104"/>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7" t="s">
        <v>1</v>
      </c>
      <c r="B2" s="7" t="s">
        <v>2</v>
      </c>
      <c r="C2" s="7" t="s">
        <v>3</v>
      </c>
      <c r="D2" s="7" t="s">
        <v>4</v>
      </c>
      <c r="E2" s="7" t="s">
        <v>9</v>
      </c>
      <c r="F2" s="7" t="s">
        <v>10</v>
      </c>
      <c r="G2" s="7" t="s">
        <v>11</v>
      </c>
      <c r="H2" s="7" t="s">
        <v>12</v>
      </c>
      <c r="I2" s="7" t="s">
        <v>13</v>
      </c>
    </row>
    <row r="3" spans="1:9" x14ac:dyDescent="0.25">
      <c r="A3" s="111">
        <v>22</v>
      </c>
      <c r="B3" s="106" t="s">
        <v>52</v>
      </c>
      <c r="C3" s="108" t="s">
        <v>7</v>
      </c>
      <c r="D3" s="108">
        <v>15</v>
      </c>
      <c r="E3" s="109">
        <f>IF(C20&lt;=25%,D20,MIN(E20:F20))</f>
        <v>1692.18</v>
      </c>
      <c r="F3" s="109">
        <f>MIN(H3:H17)</f>
        <v>900.9</v>
      </c>
      <c r="G3" s="5" t="s">
        <v>129</v>
      </c>
      <c r="H3" s="16">
        <v>900.9</v>
      </c>
      <c r="I3" s="17">
        <f>IF(H3="","",(IF($C$20&lt;25%,"n/a",IF(H3&lt;=($D$20+$A$20),H3,"Descartado"))))</f>
        <v>900.9</v>
      </c>
    </row>
    <row r="4" spans="1:9" x14ac:dyDescent="0.25">
      <c r="A4" s="111"/>
      <c r="B4" s="107"/>
      <c r="C4" s="108"/>
      <c r="D4" s="108"/>
      <c r="E4" s="109"/>
      <c r="F4" s="109"/>
      <c r="G4" s="5" t="s">
        <v>157</v>
      </c>
      <c r="H4" s="16">
        <v>1650</v>
      </c>
      <c r="I4" s="17">
        <f t="shared" ref="I4:I17" si="0">IF(H4="","",(IF($C$20&lt;25%,"n/a",IF(H4&lt;=($D$20+$A$20),H4,"Descartado"))))</f>
        <v>1650</v>
      </c>
    </row>
    <row r="5" spans="1:9" x14ac:dyDescent="0.25">
      <c r="A5" s="111"/>
      <c r="B5" s="107"/>
      <c r="C5" s="108"/>
      <c r="D5" s="108"/>
      <c r="E5" s="109"/>
      <c r="F5" s="109"/>
      <c r="G5" s="5" t="s">
        <v>138</v>
      </c>
      <c r="H5" s="16">
        <v>2399</v>
      </c>
      <c r="I5" s="17">
        <f t="shared" si="0"/>
        <v>2399</v>
      </c>
    </row>
    <row r="6" spans="1:9" x14ac:dyDescent="0.25">
      <c r="A6" s="111"/>
      <c r="B6" s="107"/>
      <c r="C6" s="108"/>
      <c r="D6" s="108"/>
      <c r="E6" s="109"/>
      <c r="F6" s="109"/>
      <c r="G6" s="5" t="s">
        <v>158</v>
      </c>
      <c r="H6" s="16">
        <v>3034</v>
      </c>
      <c r="I6" s="17" t="str">
        <f t="shared" si="0"/>
        <v>Descartado</v>
      </c>
    </row>
    <row r="7" spans="1:9" x14ac:dyDescent="0.25">
      <c r="A7" s="111"/>
      <c r="B7" s="107"/>
      <c r="C7" s="108"/>
      <c r="D7" s="108"/>
      <c r="E7" s="109"/>
      <c r="F7" s="109"/>
      <c r="G7" s="5" t="s">
        <v>196</v>
      </c>
      <c r="H7" s="16">
        <v>2019</v>
      </c>
      <c r="I7" s="17">
        <f t="shared" si="0"/>
        <v>2019</v>
      </c>
    </row>
    <row r="8" spans="1:9" x14ac:dyDescent="0.25">
      <c r="A8" s="111"/>
      <c r="B8" s="107"/>
      <c r="C8" s="108"/>
      <c r="D8" s="108"/>
      <c r="E8" s="109"/>
      <c r="F8" s="109"/>
      <c r="G8" s="5" t="s">
        <v>197</v>
      </c>
      <c r="H8" s="16">
        <v>1492</v>
      </c>
      <c r="I8" s="17">
        <f t="shared" si="0"/>
        <v>1492</v>
      </c>
    </row>
    <row r="9" spans="1:9" x14ac:dyDescent="0.25">
      <c r="A9" s="111"/>
      <c r="B9" s="107"/>
      <c r="C9" s="108"/>
      <c r="D9" s="108"/>
      <c r="E9" s="109"/>
      <c r="F9" s="109"/>
      <c r="G9" s="5"/>
      <c r="H9" s="16"/>
      <c r="I9" s="17" t="str">
        <f t="shared" si="0"/>
        <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7" t="s">
        <v>14</v>
      </c>
      <c r="B19" s="7" t="s">
        <v>15</v>
      </c>
      <c r="C19" s="7" t="s">
        <v>25</v>
      </c>
      <c r="D19" s="7" t="s">
        <v>16</v>
      </c>
      <c r="E19" s="7" t="s">
        <v>17</v>
      </c>
      <c r="F19" s="7" t="s">
        <v>18</v>
      </c>
      <c r="G19" s="104" t="s">
        <v>19</v>
      </c>
      <c r="H19" s="104"/>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7" t="s">
        <v>1</v>
      </c>
      <c r="B2" s="7" t="s">
        <v>2</v>
      </c>
      <c r="C2" s="7" t="s">
        <v>3</v>
      </c>
      <c r="D2" s="7" t="s">
        <v>4</v>
      </c>
      <c r="E2" s="7" t="s">
        <v>9</v>
      </c>
      <c r="F2" s="7" t="s">
        <v>10</v>
      </c>
      <c r="G2" s="7" t="s">
        <v>11</v>
      </c>
      <c r="H2" s="7" t="s">
        <v>12</v>
      </c>
      <c r="I2" s="7" t="s">
        <v>13</v>
      </c>
    </row>
    <row r="3" spans="1:9" x14ac:dyDescent="0.25">
      <c r="A3" s="111">
        <v>23</v>
      </c>
      <c r="B3" s="106" t="s">
        <v>53</v>
      </c>
      <c r="C3" s="108" t="s">
        <v>7</v>
      </c>
      <c r="D3" s="108">
        <v>1</v>
      </c>
      <c r="E3" s="109">
        <f>IF(C20&lt;=25%,D20,MIN(E20:F20))</f>
        <v>2269.12</v>
      </c>
      <c r="F3" s="109">
        <f>MIN(H3:H17)</f>
        <v>1299</v>
      </c>
      <c r="G3" s="5" t="s">
        <v>159</v>
      </c>
      <c r="H3" s="16">
        <v>1299</v>
      </c>
      <c r="I3" s="17">
        <f>IF(H3="","",(IF($C$20&lt;25%,"n/a",IF(H3&lt;=($D$20+$A$20),H3,"Descartado"))))</f>
        <v>1299</v>
      </c>
    </row>
    <row r="4" spans="1:9" x14ac:dyDescent="0.25">
      <c r="A4" s="111"/>
      <c r="B4" s="107"/>
      <c r="C4" s="108"/>
      <c r="D4" s="108"/>
      <c r="E4" s="109"/>
      <c r="F4" s="109"/>
      <c r="G4" s="5" t="s">
        <v>100</v>
      </c>
      <c r="H4" s="16">
        <v>1689</v>
      </c>
      <c r="I4" s="17">
        <f t="shared" ref="I4:I17" si="0">IF(H4="","",(IF($C$20&lt;25%,"n/a",IF(H4&lt;=($D$20+$A$20),H4,"Descartado"))))</f>
        <v>1689</v>
      </c>
    </row>
    <row r="5" spans="1:9" x14ac:dyDescent="0.25">
      <c r="A5" s="111"/>
      <c r="B5" s="107"/>
      <c r="C5" s="108"/>
      <c r="D5" s="108"/>
      <c r="E5" s="109"/>
      <c r="F5" s="109"/>
      <c r="G5" s="5" t="s">
        <v>131</v>
      </c>
      <c r="H5" s="16">
        <v>4779.97</v>
      </c>
      <c r="I5" s="17" t="str">
        <f t="shared" si="0"/>
        <v>Descartado</v>
      </c>
    </row>
    <row r="6" spans="1:9" x14ac:dyDescent="0.25">
      <c r="A6" s="111"/>
      <c r="B6" s="107"/>
      <c r="C6" s="108"/>
      <c r="D6" s="108"/>
      <c r="E6" s="109"/>
      <c r="F6" s="109"/>
      <c r="G6" s="5" t="s">
        <v>160</v>
      </c>
      <c r="H6" s="16">
        <v>4768</v>
      </c>
      <c r="I6" s="17" t="str">
        <f t="shared" si="0"/>
        <v>Descartado</v>
      </c>
    </row>
    <row r="7" spans="1:9" x14ac:dyDescent="0.25">
      <c r="A7" s="111"/>
      <c r="B7" s="107"/>
      <c r="C7" s="108"/>
      <c r="D7" s="108"/>
      <c r="E7" s="109"/>
      <c r="F7" s="109"/>
      <c r="G7" s="5" t="s">
        <v>198</v>
      </c>
      <c r="H7" s="16">
        <v>2249.1</v>
      </c>
      <c r="I7" s="17">
        <f t="shared" si="0"/>
        <v>2249.1</v>
      </c>
    </row>
    <row r="8" spans="1:9" x14ac:dyDescent="0.25">
      <c r="A8" s="111"/>
      <c r="B8" s="107"/>
      <c r="C8" s="108"/>
      <c r="D8" s="108"/>
      <c r="E8" s="109"/>
      <c r="F8" s="109"/>
      <c r="G8" s="5" t="s">
        <v>199</v>
      </c>
      <c r="H8" s="16">
        <v>2554.9899999999998</v>
      </c>
      <c r="I8" s="17">
        <f t="shared" si="0"/>
        <v>2554.9899999999998</v>
      </c>
    </row>
    <row r="9" spans="1:9" x14ac:dyDescent="0.25">
      <c r="A9" s="111"/>
      <c r="B9" s="107"/>
      <c r="C9" s="108"/>
      <c r="D9" s="108"/>
      <c r="E9" s="109"/>
      <c r="F9" s="109"/>
      <c r="G9" s="5" t="s">
        <v>200</v>
      </c>
      <c r="H9" s="16">
        <v>4045.24</v>
      </c>
      <c r="I9" s="17">
        <f t="shared" si="0"/>
        <v>4045.24</v>
      </c>
    </row>
    <row r="10" spans="1:9" x14ac:dyDescent="0.25">
      <c r="A10" s="111"/>
      <c r="B10" s="107"/>
      <c r="C10" s="108"/>
      <c r="D10" s="108"/>
      <c r="E10" s="109"/>
      <c r="F10" s="109"/>
      <c r="G10" s="5" t="s">
        <v>201</v>
      </c>
      <c r="H10" s="16">
        <v>1777.41</v>
      </c>
      <c r="I10" s="17">
        <f t="shared" si="0"/>
        <v>1777.41</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7" t="s">
        <v>14</v>
      </c>
      <c r="B19" s="7" t="s">
        <v>15</v>
      </c>
      <c r="C19" s="7" t="s">
        <v>25</v>
      </c>
      <c r="D19" s="7" t="s">
        <v>16</v>
      </c>
      <c r="E19" s="7" t="s">
        <v>17</v>
      </c>
      <c r="F19" s="7" t="s">
        <v>18</v>
      </c>
      <c r="G19" s="104" t="s">
        <v>19</v>
      </c>
      <c r="H19" s="104"/>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7" t="s">
        <v>1</v>
      </c>
      <c r="B2" s="7" t="s">
        <v>2</v>
      </c>
      <c r="C2" s="7" t="s">
        <v>3</v>
      </c>
      <c r="D2" s="7" t="s">
        <v>4</v>
      </c>
      <c r="E2" s="7" t="s">
        <v>9</v>
      </c>
      <c r="F2" s="7" t="s">
        <v>10</v>
      </c>
      <c r="G2" s="7" t="s">
        <v>11</v>
      </c>
      <c r="H2" s="7" t="s">
        <v>12</v>
      </c>
      <c r="I2" s="7" t="s">
        <v>13</v>
      </c>
    </row>
    <row r="3" spans="1:9" x14ac:dyDescent="0.25">
      <c r="A3" s="111">
        <v>24</v>
      </c>
      <c r="B3" s="106" t="s">
        <v>54</v>
      </c>
      <c r="C3" s="108" t="s">
        <v>7</v>
      </c>
      <c r="D3" s="108">
        <v>6</v>
      </c>
      <c r="E3" s="109">
        <f>IF(C20&lt;=25%,D20,MIN(E20:F20))</f>
        <v>150.47</v>
      </c>
      <c r="F3" s="109">
        <f>MIN(H3:H17)</f>
        <v>116.55</v>
      </c>
      <c r="G3" s="5" t="s">
        <v>179</v>
      </c>
      <c r="H3" s="16">
        <v>116.55</v>
      </c>
      <c r="I3" s="17" t="str">
        <f>IF(H3="","",(IF($C$20&lt;25%,"n/a",IF(H3&lt;=($D$20+$A$20),H3,"Descartado"))))</f>
        <v>n/a</v>
      </c>
    </row>
    <row r="4" spans="1:9" x14ac:dyDescent="0.25">
      <c r="A4" s="111"/>
      <c r="B4" s="107"/>
      <c r="C4" s="108"/>
      <c r="D4" s="108"/>
      <c r="E4" s="109"/>
      <c r="F4" s="109"/>
      <c r="G4" s="5" t="s">
        <v>185</v>
      </c>
      <c r="H4" s="16">
        <v>189.9</v>
      </c>
      <c r="I4" s="17" t="str">
        <f t="shared" ref="I4:I17" si="0">IF(H4="","",(IF($C$20&lt;25%,"n/a",IF(H4&lt;=($D$20+$A$20),H4,"Descartado"))))</f>
        <v>n/a</v>
      </c>
    </row>
    <row r="5" spans="1:9" x14ac:dyDescent="0.25">
      <c r="A5" s="111"/>
      <c r="B5" s="107"/>
      <c r="C5" s="108"/>
      <c r="D5" s="108"/>
      <c r="E5" s="109"/>
      <c r="F5" s="109"/>
      <c r="G5" s="5" t="s">
        <v>202</v>
      </c>
      <c r="H5" s="16">
        <v>144.94999999999999</v>
      </c>
      <c r="I5" s="17" t="str">
        <f t="shared" si="0"/>
        <v>n/a</v>
      </c>
    </row>
    <row r="6" spans="1:9" x14ac:dyDescent="0.25">
      <c r="A6" s="111"/>
      <c r="B6" s="107"/>
      <c r="C6" s="108"/>
      <c r="D6" s="108"/>
      <c r="E6" s="109"/>
      <c r="F6" s="109"/>
      <c r="G6" s="5"/>
      <c r="H6" s="16"/>
      <c r="I6" s="17" t="str">
        <f t="shared" si="0"/>
        <v/>
      </c>
    </row>
    <row r="7" spans="1:9" x14ac:dyDescent="0.25">
      <c r="A7" s="111"/>
      <c r="B7" s="107"/>
      <c r="C7" s="108"/>
      <c r="D7" s="108"/>
      <c r="E7" s="109"/>
      <c r="F7" s="109"/>
      <c r="G7" s="5"/>
      <c r="H7" s="16"/>
      <c r="I7" s="17" t="str">
        <f t="shared" si="0"/>
        <v/>
      </c>
    </row>
    <row r="8" spans="1:9" x14ac:dyDescent="0.25">
      <c r="A8" s="111"/>
      <c r="B8" s="107"/>
      <c r="C8" s="108"/>
      <c r="D8" s="108"/>
      <c r="E8" s="109"/>
      <c r="F8" s="109"/>
      <c r="G8" s="5"/>
      <c r="H8" s="16"/>
      <c r="I8" s="17" t="str">
        <f t="shared" si="0"/>
        <v/>
      </c>
    </row>
    <row r="9" spans="1:9" x14ac:dyDescent="0.25">
      <c r="A9" s="111"/>
      <c r="B9" s="107"/>
      <c r="C9" s="108"/>
      <c r="D9" s="108"/>
      <c r="E9" s="109"/>
      <c r="F9" s="109"/>
      <c r="G9" s="5"/>
      <c r="H9" s="16"/>
      <c r="I9" s="17" t="str">
        <f t="shared" si="0"/>
        <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7" t="s">
        <v>14</v>
      </c>
      <c r="B19" s="7" t="s">
        <v>15</v>
      </c>
      <c r="C19" s="7" t="s">
        <v>25</v>
      </c>
      <c r="D19" s="7" t="s">
        <v>16</v>
      </c>
      <c r="E19" s="7" t="s">
        <v>17</v>
      </c>
      <c r="F19" s="7" t="s">
        <v>18</v>
      </c>
      <c r="G19" s="104" t="s">
        <v>19</v>
      </c>
      <c r="H19" s="104"/>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7" t="s">
        <v>1</v>
      </c>
      <c r="B2" s="7" t="s">
        <v>2</v>
      </c>
      <c r="C2" s="7" t="s">
        <v>3</v>
      </c>
      <c r="D2" s="7" t="s">
        <v>4</v>
      </c>
      <c r="E2" s="7" t="s">
        <v>9</v>
      </c>
      <c r="F2" s="7" t="s">
        <v>10</v>
      </c>
      <c r="G2" s="7" t="s">
        <v>11</v>
      </c>
      <c r="H2" s="7" t="s">
        <v>12</v>
      </c>
      <c r="I2" s="7" t="s">
        <v>13</v>
      </c>
    </row>
    <row r="3" spans="1:9" x14ac:dyDescent="0.25">
      <c r="A3" s="111">
        <v>25</v>
      </c>
      <c r="B3" s="106" t="s">
        <v>55</v>
      </c>
      <c r="C3" s="108" t="s">
        <v>7</v>
      </c>
      <c r="D3" s="108">
        <v>2</v>
      </c>
      <c r="E3" s="109">
        <f>IF(C20&lt;=25%,D20,MIN(E20:F20))</f>
        <v>701.53</v>
      </c>
      <c r="F3" s="109">
        <f>MIN(H3:H17)</f>
        <v>549</v>
      </c>
      <c r="G3" s="5" t="s">
        <v>203</v>
      </c>
      <c r="H3" s="16">
        <v>549</v>
      </c>
      <c r="I3" s="17">
        <f>IF(H3="","",(IF($C$20&lt;25%,"n/a",IF(H3&lt;=($D$20+$A$20),H3,"Descartado"))))</f>
        <v>549</v>
      </c>
    </row>
    <row r="4" spans="1:9" x14ac:dyDescent="0.25">
      <c r="A4" s="111"/>
      <c r="B4" s="107"/>
      <c r="C4" s="108"/>
      <c r="D4" s="108"/>
      <c r="E4" s="109"/>
      <c r="F4" s="109"/>
      <c r="G4" s="5" t="s">
        <v>179</v>
      </c>
      <c r="H4" s="16">
        <v>679.9</v>
      </c>
      <c r="I4" s="17">
        <f t="shared" ref="I4:I17" si="0">IF(H4="","",(IF($C$20&lt;25%,"n/a",IF(H4&lt;=($D$20+$A$20),H4,"Descartado"))))</f>
        <v>679.9</v>
      </c>
    </row>
    <row r="5" spans="1:9" x14ac:dyDescent="0.25">
      <c r="A5" s="111"/>
      <c r="B5" s="107"/>
      <c r="C5" s="108"/>
      <c r="D5" s="108"/>
      <c r="E5" s="109"/>
      <c r="F5" s="109"/>
      <c r="G5" s="5" t="s">
        <v>172</v>
      </c>
      <c r="H5" s="16">
        <v>998</v>
      </c>
      <c r="I5" s="17" t="str">
        <f t="shared" si="0"/>
        <v>Descartado</v>
      </c>
    </row>
    <row r="6" spans="1:9" x14ac:dyDescent="0.25">
      <c r="A6" s="111"/>
      <c r="B6" s="107"/>
      <c r="C6" s="108"/>
      <c r="D6" s="108"/>
      <c r="E6" s="109"/>
      <c r="F6" s="109"/>
      <c r="G6" s="5" t="s">
        <v>204</v>
      </c>
      <c r="H6" s="16">
        <v>875.69</v>
      </c>
      <c r="I6" s="17">
        <f t="shared" si="0"/>
        <v>875.69</v>
      </c>
    </row>
    <row r="7" spans="1:9" x14ac:dyDescent="0.25">
      <c r="A7" s="111"/>
      <c r="B7" s="107"/>
      <c r="C7" s="108"/>
      <c r="D7" s="108"/>
      <c r="E7" s="109"/>
      <c r="F7" s="109"/>
      <c r="G7" s="5"/>
      <c r="H7" s="16"/>
      <c r="I7" s="17" t="str">
        <f t="shared" si="0"/>
        <v/>
      </c>
    </row>
    <row r="8" spans="1:9" x14ac:dyDescent="0.25">
      <c r="A8" s="111"/>
      <c r="B8" s="107"/>
      <c r="C8" s="108"/>
      <c r="D8" s="108"/>
      <c r="E8" s="109"/>
      <c r="F8" s="109"/>
      <c r="G8" s="5"/>
      <c r="H8" s="16"/>
      <c r="I8" s="17" t="str">
        <f t="shared" si="0"/>
        <v/>
      </c>
    </row>
    <row r="9" spans="1:9" x14ac:dyDescent="0.25">
      <c r="A9" s="111"/>
      <c r="B9" s="107"/>
      <c r="C9" s="108"/>
      <c r="D9" s="108"/>
      <c r="E9" s="109"/>
      <c r="F9" s="109"/>
      <c r="G9" s="5"/>
      <c r="H9" s="16"/>
      <c r="I9" s="17" t="str">
        <f t="shared" si="0"/>
        <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7" t="s">
        <v>14</v>
      </c>
      <c r="B19" s="7" t="s">
        <v>15</v>
      </c>
      <c r="C19" s="7" t="s">
        <v>25</v>
      </c>
      <c r="D19" s="7" t="s">
        <v>16</v>
      </c>
      <c r="E19" s="7" t="s">
        <v>17</v>
      </c>
      <c r="F19" s="7" t="s">
        <v>18</v>
      </c>
      <c r="G19" s="104" t="s">
        <v>19</v>
      </c>
      <c r="H19" s="104"/>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7" t="s">
        <v>1</v>
      </c>
      <c r="B2" s="7" t="s">
        <v>2</v>
      </c>
      <c r="C2" s="7" t="s">
        <v>3</v>
      </c>
      <c r="D2" s="7" t="s">
        <v>4</v>
      </c>
      <c r="E2" s="7" t="s">
        <v>9</v>
      </c>
      <c r="F2" s="7" t="s">
        <v>10</v>
      </c>
      <c r="G2" s="7" t="s">
        <v>11</v>
      </c>
      <c r="H2" s="7" t="s">
        <v>12</v>
      </c>
      <c r="I2" s="7" t="s">
        <v>13</v>
      </c>
    </row>
    <row r="3" spans="1:9" x14ac:dyDescent="0.25">
      <c r="A3" s="111">
        <v>26</v>
      </c>
      <c r="B3" s="106" t="s">
        <v>56</v>
      </c>
      <c r="C3" s="108" t="s">
        <v>7</v>
      </c>
      <c r="D3" s="108">
        <v>4</v>
      </c>
      <c r="E3" s="109">
        <f>IF(C20&lt;=25%,D20,MIN(E20:F20))</f>
        <v>314.5</v>
      </c>
      <c r="F3" s="109">
        <f>MIN(H3:H17)</f>
        <v>149.97</v>
      </c>
      <c r="G3" s="5" t="s">
        <v>161</v>
      </c>
      <c r="H3" s="16">
        <v>1257</v>
      </c>
      <c r="I3" s="17" t="str">
        <f>IF(H3="","",(IF($C$20&lt;25%,"n/a",IF(H3&lt;=($D$20+$A$20),H3,"Descartado"))))</f>
        <v>Descartado</v>
      </c>
    </row>
    <row r="4" spans="1:9" x14ac:dyDescent="0.25">
      <c r="A4" s="111"/>
      <c r="B4" s="107"/>
      <c r="C4" s="108"/>
      <c r="D4" s="108"/>
      <c r="E4" s="109"/>
      <c r="F4" s="109"/>
      <c r="G4" s="5" t="s">
        <v>100</v>
      </c>
      <c r="H4" s="16">
        <v>160</v>
      </c>
      <c r="I4" s="17">
        <f t="shared" ref="I4:I17" si="0">IF(H4="","",(IF($C$20&lt;25%,"n/a",IF(H4&lt;=($D$20+$A$20),H4,"Descartado"))))</f>
        <v>160</v>
      </c>
    </row>
    <row r="5" spans="1:9" x14ac:dyDescent="0.25">
      <c r="A5" s="111"/>
      <c r="B5" s="107"/>
      <c r="C5" s="108"/>
      <c r="D5" s="108"/>
      <c r="E5" s="109"/>
      <c r="F5" s="109"/>
      <c r="G5" s="5" t="s">
        <v>162</v>
      </c>
      <c r="H5" s="16">
        <v>330</v>
      </c>
      <c r="I5" s="17">
        <f t="shared" si="0"/>
        <v>330</v>
      </c>
    </row>
    <row r="6" spans="1:9" x14ac:dyDescent="0.25">
      <c r="A6" s="111"/>
      <c r="B6" s="107"/>
      <c r="C6" s="108"/>
      <c r="D6" s="108"/>
      <c r="E6" s="109"/>
      <c r="F6" s="109"/>
      <c r="G6" s="5" t="s">
        <v>108</v>
      </c>
      <c r="H6" s="16">
        <v>259</v>
      </c>
      <c r="I6" s="17">
        <f t="shared" si="0"/>
        <v>259</v>
      </c>
    </row>
    <row r="7" spans="1:9" x14ac:dyDescent="0.25">
      <c r="A7" s="111"/>
      <c r="B7" s="107"/>
      <c r="C7" s="108"/>
      <c r="D7" s="108"/>
      <c r="E7" s="109"/>
      <c r="F7" s="109"/>
      <c r="G7" s="5" t="s">
        <v>114</v>
      </c>
      <c r="H7" s="16">
        <v>1000</v>
      </c>
      <c r="I7" s="17">
        <f t="shared" si="0"/>
        <v>1000</v>
      </c>
    </row>
    <row r="8" spans="1:9" x14ac:dyDescent="0.25">
      <c r="A8" s="111"/>
      <c r="B8" s="107"/>
      <c r="C8" s="108"/>
      <c r="D8" s="108"/>
      <c r="E8" s="109"/>
      <c r="F8" s="109"/>
      <c r="G8" s="5" t="s">
        <v>163</v>
      </c>
      <c r="H8" s="16">
        <v>177.5</v>
      </c>
      <c r="I8" s="17">
        <f t="shared" si="0"/>
        <v>177.5</v>
      </c>
    </row>
    <row r="9" spans="1:9" x14ac:dyDescent="0.25">
      <c r="A9" s="111"/>
      <c r="B9" s="107"/>
      <c r="C9" s="108"/>
      <c r="D9" s="108"/>
      <c r="E9" s="109"/>
      <c r="F9" s="109"/>
      <c r="G9" s="5" t="s">
        <v>102</v>
      </c>
      <c r="H9" s="16">
        <v>160</v>
      </c>
      <c r="I9" s="17">
        <f t="shared" si="0"/>
        <v>160</v>
      </c>
    </row>
    <row r="10" spans="1:9" x14ac:dyDescent="0.25">
      <c r="A10" s="111"/>
      <c r="B10" s="107"/>
      <c r="C10" s="108"/>
      <c r="D10" s="108"/>
      <c r="E10" s="109"/>
      <c r="F10" s="109"/>
      <c r="G10" s="5" t="s">
        <v>164</v>
      </c>
      <c r="H10" s="16">
        <v>1342</v>
      </c>
      <c r="I10" s="17" t="str">
        <f t="shared" si="0"/>
        <v>Descartado</v>
      </c>
    </row>
    <row r="11" spans="1:9" x14ac:dyDescent="0.25">
      <c r="A11" s="111"/>
      <c r="B11" s="107"/>
      <c r="C11" s="108"/>
      <c r="D11" s="108"/>
      <c r="E11" s="109"/>
      <c r="F11" s="109"/>
      <c r="G11" s="5" t="s">
        <v>165</v>
      </c>
      <c r="H11" s="16">
        <v>1650</v>
      </c>
      <c r="I11" s="17" t="str">
        <f t="shared" si="0"/>
        <v>Descartado</v>
      </c>
    </row>
    <row r="12" spans="1:9" x14ac:dyDescent="0.25">
      <c r="A12" s="111"/>
      <c r="B12" s="107"/>
      <c r="C12" s="108"/>
      <c r="D12" s="108"/>
      <c r="E12" s="109"/>
      <c r="F12" s="109"/>
      <c r="G12" s="5" t="s">
        <v>133</v>
      </c>
      <c r="H12" s="16">
        <v>149.97</v>
      </c>
      <c r="I12" s="17">
        <f t="shared" si="0"/>
        <v>149.97</v>
      </c>
    </row>
    <row r="13" spans="1:9" x14ac:dyDescent="0.25">
      <c r="A13" s="111"/>
      <c r="B13" s="107"/>
      <c r="C13" s="108"/>
      <c r="D13" s="108"/>
      <c r="E13" s="109"/>
      <c r="F13" s="109"/>
      <c r="G13" s="5" t="s">
        <v>196</v>
      </c>
      <c r="H13" s="16">
        <v>299</v>
      </c>
      <c r="I13" s="17">
        <f t="shared" si="0"/>
        <v>299</v>
      </c>
    </row>
    <row r="14" spans="1:9" x14ac:dyDescent="0.25">
      <c r="A14" s="111"/>
      <c r="B14" s="107"/>
      <c r="C14" s="108"/>
      <c r="D14" s="108"/>
      <c r="E14" s="109"/>
      <c r="F14" s="109"/>
      <c r="G14" s="5" t="s">
        <v>205</v>
      </c>
      <c r="H14" s="16">
        <v>341.01</v>
      </c>
      <c r="I14" s="17">
        <f t="shared" si="0"/>
        <v>341.01</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7" t="s">
        <v>14</v>
      </c>
      <c r="B19" s="7" t="s">
        <v>15</v>
      </c>
      <c r="C19" s="7" t="s">
        <v>25</v>
      </c>
      <c r="D19" s="7" t="s">
        <v>16</v>
      </c>
      <c r="E19" s="7" t="s">
        <v>17</v>
      </c>
      <c r="F19" s="7" t="s">
        <v>18</v>
      </c>
      <c r="G19" s="104" t="s">
        <v>19</v>
      </c>
      <c r="H19" s="104"/>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7" t="s">
        <v>1</v>
      </c>
      <c r="B2" s="7" t="s">
        <v>2</v>
      </c>
      <c r="C2" s="7" t="s">
        <v>3</v>
      </c>
      <c r="D2" s="7" t="s">
        <v>4</v>
      </c>
      <c r="E2" s="7" t="s">
        <v>9</v>
      </c>
      <c r="F2" s="7" t="s">
        <v>10</v>
      </c>
      <c r="G2" s="7" t="s">
        <v>11</v>
      </c>
      <c r="H2" s="7" t="s">
        <v>12</v>
      </c>
      <c r="I2" s="7" t="s">
        <v>13</v>
      </c>
    </row>
    <row r="3" spans="1:9" x14ac:dyDescent="0.25">
      <c r="A3" s="111">
        <v>27</v>
      </c>
      <c r="B3" s="106" t="s">
        <v>57</v>
      </c>
      <c r="C3" s="108" t="s">
        <v>7</v>
      </c>
      <c r="D3" s="108">
        <v>2</v>
      </c>
      <c r="E3" s="109">
        <f>IF(C20&lt;=25%,D20,MIN(E20:F20))</f>
        <v>2336.66</v>
      </c>
      <c r="F3" s="109">
        <f>MIN(H3:H17)</f>
        <v>985</v>
      </c>
      <c r="G3" s="5" t="s">
        <v>162</v>
      </c>
      <c r="H3" s="16">
        <v>985</v>
      </c>
      <c r="I3" s="17">
        <f>IF(H3="","",(IF($C$20&lt;25%,"n/a",IF(H3&lt;=($D$20+$A$20),H3,"Descartado"))))</f>
        <v>985</v>
      </c>
    </row>
    <row r="4" spans="1:9" x14ac:dyDescent="0.25">
      <c r="A4" s="111"/>
      <c r="B4" s="107"/>
      <c r="C4" s="108"/>
      <c r="D4" s="108"/>
      <c r="E4" s="109"/>
      <c r="F4" s="109"/>
      <c r="G4" s="5" t="s">
        <v>166</v>
      </c>
      <c r="H4" s="16">
        <v>1750</v>
      </c>
      <c r="I4" s="17">
        <f t="shared" ref="I4:I17" si="0">IF(H4="","",(IF($C$20&lt;25%,"n/a",IF(H4&lt;=($D$20+$A$20),H4,"Descartado"))))</f>
        <v>1750</v>
      </c>
    </row>
    <row r="5" spans="1:9" x14ac:dyDescent="0.25">
      <c r="A5" s="111"/>
      <c r="B5" s="107"/>
      <c r="C5" s="108"/>
      <c r="D5" s="108"/>
      <c r="E5" s="109"/>
      <c r="F5" s="109"/>
      <c r="G5" s="5" t="s">
        <v>167</v>
      </c>
      <c r="H5" s="16">
        <v>3775.12</v>
      </c>
      <c r="I5" s="17" t="str">
        <f t="shared" si="0"/>
        <v>Descartado</v>
      </c>
    </row>
    <row r="6" spans="1:9" x14ac:dyDescent="0.25">
      <c r="A6" s="111"/>
      <c r="B6" s="107"/>
      <c r="C6" s="108"/>
      <c r="D6" s="108"/>
      <c r="E6" s="109"/>
      <c r="F6" s="109"/>
      <c r="G6" s="5" t="s">
        <v>100</v>
      </c>
      <c r="H6" s="16">
        <v>1449.99</v>
      </c>
      <c r="I6" s="17">
        <f t="shared" si="0"/>
        <v>1449.99</v>
      </c>
    </row>
    <row r="7" spans="1:9" x14ac:dyDescent="0.25">
      <c r="A7" s="111"/>
      <c r="B7" s="107"/>
      <c r="C7" s="108"/>
      <c r="D7" s="108"/>
      <c r="E7" s="109"/>
      <c r="F7" s="109"/>
      <c r="G7" s="5" t="s">
        <v>128</v>
      </c>
      <c r="H7" s="16">
        <v>1738.77</v>
      </c>
      <c r="I7" s="17">
        <f t="shared" si="0"/>
        <v>1738.77</v>
      </c>
    </row>
    <row r="8" spans="1:9" x14ac:dyDescent="0.25">
      <c r="A8" s="111"/>
      <c r="B8" s="107"/>
      <c r="C8" s="108"/>
      <c r="D8" s="108"/>
      <c r="E8" s="109"/>
      <c r="F8" s="109"/>
      <c r="G8" s="5" t="s">
        <v>168</v>
      </c>
      <c r="H8" s="16">
        <v>2582</v>
      </c>
      <c r="I8" s="17">
        <f t="shared" si="0"/>
        <v>2582</v>
      </c>
    </row>
    <row r="9" spans="1:9" x14ac:dyDescent="0.25">
      <c r="A9" s="111"/>
      <c r="B9" s="107"/>
      <c r="C9" s="108"/>
      <c r="D9" s="108"/>
      <c r="E9" s="109"/>
      <c r="F9" s="109"/>
      <c r="G9" s="5" t="s">
        <v>206</v>
      </c>
      <c r="H9" s="16">
        <v>3179.25</v>
      </c>
      <c r="I9" s="17">
        <f t="shared" si="0"/>
        <v>3179.25</v>
      </c>
    </row>
    <row r="10" spans="1:9" x14ac:dyDescent="0.25">
      <c r="A10" s="111"/>
      <c r="B10" s="107"/>
      <c r="C10" s="108"/>
      <c r="D10" s="108"/>
      <c r="E10" s="109"/>
      <c r="F10" s="109"/>
      <c r="G10" s="5" t="s">
        <v>172</v>
      </c>
      <c r="H10" s="16">
        <v>3484.8</v>
      </c>
      <c r="I10" s="17">
        <f t="shared" si="0"/>
        <v>3484.8</v>
      </c>
    </row>
    <row r="11" spans="1:9" x14ac:dyDescent="0.25">
      <c r="A11" s="111"/>
      <c r="B11" s="107"/>
      <c r="C11" s="108"/>
      <c r="D11" s="108"/>
      <c r="E11" s="109"/>
      <c r="F11" s="109"/>
      <c r="G11" s="5" t="s">
        <v>204</v>
      </c>
      <c r="H11" s="16">
        <v>3523.43</v>
      </c>
      <c r="I11" s="17">
        <f t="shared" si="0"/>
        <v>3523.43</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7" t="s">
        <v>14</v>
      </c>
      <c r="B19" s="7" t="s">
        <v>15</v>
      </c>
      <c r="C19" s="7" t="s">
        <v>25</v>
      </c>
      <c r="D19" s="7" t="s">
        <v>16</v>
      </c>
      <c r="E19" s="7" t="s">
        <v>17</v>
      </c>
      <c r="F19" s="7" t="s">
        <v>18</v>
      </c>
      <c r="G19" s="104" t="s">
        <v>19</v>
      </c>
      <c r="H19" s="104"/>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zoomScaleNormal="100" zoomScaleSheetLayoutView="100" workbookViewId="0">
      <selection activeCell="E22" sqref="E22"/>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112" t="s">
        <v>0</v>
      </c>
      <c r="B1" s="112"/>
      <c r="C1" s="112"/>
      <c r="D1" s="112"/>
      <c r="E1" s="112"/>
      <c r="F1" s="112"/>
      <c r="G1" s="112"/>
    </row>
    <row r="2" spans="1:7" ht="24" x14ac:dyDescent="0.25">
      <c r="A2" s="6" t="s">
        <v>29</v>
      </c>
      <c r="B2" s="6" t="s">
        <v>1</v>
      </c>
      <c r="C2" s="6" t="s">
        <v>2</v>
      </c>
      <c r="D2" s="6" t="s">
        <v>3</v>
      </c>
      <c r="E2" s="6" t="s">
        <v>4</v>
      </c>
      <c r="F2" s="6" t="s">
        <v>5</v>
      </c>
      <c r="G2" s="6" t="s">
        <v>30</v>
      </c>
    </row>
    <row r="3" spans="1:7" ht="30" x14ac:dyDescent="0.25">
      <c r="A3" s="26" t="s">
        <v>58</v>
      </c>
      <c r="B3" s="26">
        <f>Item1!A3</f>
        <v>1</v>
      </c>
      <c r="C3" s="28" t="str">
        <f>Item1!B3</f>
        <v>Prestação de Serviços de Agenciamento de Viagens em 24 meses</v>
      </c>
      <c r="D3" s="26" t="str">
        <f>Item1!C3</f>
        <v>UN</v>
      </c>
      <c r="E3" s="26">
        <f>Item1!D3</f>
        <v>1</v>
      </c>
      <c r="F3" s="27">
        <f>Item1!E3</f>
        <v>1623085.85</v>
      </c>
      <c r="G3" s="27">
        <f>ROUND((E3*F3),2)</f>
        <v>1623085.85</v>
      </c>
    </row>
    <row r="4" spans="1:7" x14ac:dyDescent="0.25">
      <c r="A4" s="21"/>
      <c r="B4" s="21"/>
      <c r="C4" s="22"/>
      <c r="D4" s="23"/>
      <c r="E4" s="23"/>
      <c r="F4" s="24"/>
      <c r="G4" s="24"/>
    </row>
    <row r="5" spans="1:7" ht="15.75" thickBot="1" x14ac:dyDescent="0.3"/>
    <row r="6" spans="1:7" ht="16.5" thickTop="1" thickBot="1" x14ac:dyDescent="0.3">
      <c r="D6" s="18"/>
      <c r="E6" s="19" t="s">
        <v>31</v>
      </c>
      <c r="F6" s="20">
        <f>SUM(G:G)</f>
        <v>1623085.85</v>
      </c>
    </row>
    <row r="7" spans="1:7" ht="15.75" thickTop="1" x14ac:dyDescent="0.25">
      <c r="F7"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1"/>
  <sheetViews>
    <sheetView showGridLines="0" zoomScale="70" zoomScaleNormal="70" workbookViewId="0">
      <selection activeCell="E4" sqref="E4"/>
    </sheetView>
  </sheetViews>
  <sheetFormatPr defaultRowHeight="15" x14ac:dyDescent="0.25"/>
  <cols>
    <col min="1" max="1" width="2" customWidth="1"/>
    <col min="3" max="3" width="59.7109375" customWidth="1"/>
    <col min="4" max="4" width="23" customWidth="1"/>
    <col min="5" max="5" width="25" customWidth="1"/>
    <col min="6" max="6" width="32.140625" customWidth="1"/>
    <col min="7" max="7" width="31.7109375" customWidth="1"/>
  </cols>
  <sheetData>
    <row r="3" spans="2:7" ht="40.5" customHeight="1" x14ac:dyDescent="0.25">
      <c r="B3" s="103" t="s">
        <v>223</v>
      </c>
      <c r="C3" s="103" t="s">
        <v>224</v>
      </c>
      <c r="D3" s="103" t="s">
        <v>225</v>
      </c>
      <c r="E3" s="103" t="s">
        <v>226</v>
      </c>
      <c r="F3" s="103" t="s">
        <v>227</v>
      </c>
      <c r="G3" s="103" t="s">
        <v>228</v>
      </c>
    </row>
    <row r="4" spans="2:7" ht="96" customHeight="1" x14ac:dyDescent="0.25">
      <c r="B4" s="101">
        <v>1</v>
      </c>
      <c r="C4" s="100" t="s">
        <v>276</v>
      </c>
      <c r="D4" s="101">
        <v>1100</v>
      </c>
      <c r="E4" s="34">
        <f>(G4/F4) - 1</f>
        <v>-4.7510330879740881E-4</v>
      </c>
      <c r="F4" s="102">
        <v>1623857.35</v>
      </c>
      <c r="G4" s="102">
        <v>1623085.85</v>
      </c>
    </row>
    <row r="10" spans="2:7" x14ac:dyDescent="0.25">
      <c r="E10" s="35"/>
      <c r="F10" s="35"/>
    </row>
    <row r="11" spans="2:7" x14ac:dyDescent="0.25">
      <c r="E11" s="35"/>
      <c r="F11" s="35"/>
    </row>
  </sheetData>
  <pageMargins left="0.511811024" right="0.511811024" top="0.78740157499999996" bottom="0.78740157499999996" header="0.31496062000000002" footer="0.31496062000000002"/>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3</v>
      </c>
      <c r="B3" s="106" t="s">
        <v>33</v>
      </c>
      <c r="C3" s="108" t="s">
        <v>7</v>
      </c>
      <c r="D3" s="108">
        <v>6</v>
      </c>
      <c r="E3" s="109">
        <f>IF(C20&lt;=25%,D20,MIN(E20:F20))</f>
        <v>296.49</v>
      </c>
      <c r="F3" s="109">
        <f>MIN(H3:H17)</f>
        <v>171.07</v>
      </c>
      <c r="G3" s="5" t="s">
        <v>67</v>
      </c>
      <c r="H3" s="16">
        <v>235.1</v>
      </c>
      <c r="I3" s="17">
        <f>IF(H3="","",(IF($C$20&lt;25%,"n/a",IF(H3&lt;=($D$20+$A$20),H3,"Descartado"))))</f>
        <v>235.1</v>
      </c>
    </row>
    <row r="4" spans="1:9" x14ac:dyDescent="0.25">
      <c r="A4" s="111"/>
      <c r="B4" s="107"/>
      <c r="C4" s="108"/>
      <c r="D4" s="108"/>
      <c r="E4" s="109"/>
      <c r="F4" s="109"/>
      <c r="G4" s="5" t="s">
        <v>68</v>
      </c>
      <c r="H4" s="16">
        <v>247.6</v>
      </c>
      <c r="I4" s="17">
        <f t="shared" ref="I4:I17" si="0">IF(H4="","",(IF($C$20&lt;25%,"n/a",IF(H4&lt;=($D$20+$A$20),H4,"Descartado"))))</f>
        <v>247.6</v>
      </c>
    </row>
    <row r="5" spans="1:9" x14ac:dyDescent="0.25">
      <c r="A5" s="111"/>
      <c r="B5" s="107"/>
      <c r="C5" s="108"/>
      <c r="D5" s="108"/>
      <c r="E5" s="109"/>
      <c r="F5" s="109"/>
      <c r="G5" s="5" t="s">
        <v>69</v>
      </c>
      <c r="H5" s="16">
        <v>541</v>
      </c>
      <c r="I5" s="17">
        <f t="shared" si="0"/>
        <v>541</v>
      </c>
    </row>
    <row r="6" spans="1:9" x14ac:dyDescent="0.25">
      <c r="A6" s="111"/>
      <c r="B6" s="107"/>
      <c r="C6" s="108"/>
      <c r="D6" s="108"/>
      <c r="E6" s="109"/>
      <c r="F6" s="109"/>
      <c r="G6" s="5" t="s">
        <v>70</v>
      </c>
      <c r="H6" s="16">
        <v>171.07</v>
      </c>
      <c r="I6" s="17">
        <f t="shared" si="0"/>
        <v>171.07</v>
      </c>
    </row>
    <row r="7" spans="1:9" x14ac:dyDescent="0.25">
      <c r="A7" s="111"/>
      <c r="B7" s="107"/>
      <c r="C7" s="108"/>
      <c r="D7" s="108"/>
      <c r="E7" s="109"/>
      <c r="F7" s="109"/>
      <c r="G7" s="5" t="s">
        <v>71</v>
      </c>
      <c r="H7" s="16">
        <v>1000</v>
      </c>
      <c r="I7" s="17" t="str">
        <f t="shared" si="0"/>
        <v>Descartado</v>
      </c>
    </row>
    <row r="8" spans="1:9" x14ac:dyDescent="0.25">
      <c r="A8" s="111"/>
      <c r="B8" s="107"/>
      <c r="C8" s="108"/>
      <c r="D8" s="108"/>
      <c r="E8" s="109"/>
      <c r="F8" s="109"/>
      <c r="G8" s="5" t="s">
        <v>72</v>
      </c>
      <c r="H8" s="16">
        <v>176.78</v>
      </c>
      <c r="I8" s="17">
        <f t="shared" si="0"/>
        <v>176.78</v>
      </c>
    </row>
    <row r="9" spans="1:9" x14ac:dyDescent="0.25">
      <c r="A9" s="111"/>
      <c r="B9" s="107"/>
      <c r="C9" s="108"/>
      <c r="D9" s="108"/>
      <c r="E9" s="109"/>
      <c r="F9" s="109"/>
      <c r="G9" s="5" t="s">
        <v>171</v>
      </c>
      <c r="H9" s="16">
        <v>407.38</v>
      </c>
      <c r="I9" s="17">
        <f t="shared" si="0"/>
        <v>407.38</v>
      </c>
    </row>
    <row r="10" spans="1:9" x14ac:dyDescent="0.25">
      <c r="A10" s="111"/>
      <c r="B10" s="107"/>
      <c r="C10" s="108"/>
      <c r="D10" s="108"/>
      <c r="E10" s="109"/>
      <c r="F10" s="109"/>
      <c r="G10" s="5" t="s">
        <v>169</v>
      </c>
      <c r="H10" s="16">
        <v>884</v>
      </c>
      <c r="I10" s="17" t="str">
        <f t="shared" si="0"/>
        <v>Descartado</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70"/>
  <sheetViews>
    <sheetView tabSelected="1" zoomScale="70" zoomScaleNormal="70" workbookViewId="0">
      <selection activeCell="I13" sqref="I13"/>
    </sheetView>
  </sheetViews>
  <sheetFormatPr defaultRowHeight="15" x14ac:dyDescent="0.25"/>
  <cols>
    <col min="1" max="1" width="3.140625" customWidth="1"/>
    <col min="2" max="2" width="47.85546875" customWidth="1"/>
    <col min="3" max="3" width="77" customWidth="1"/>
    <col min="4" max="4" width="30.28515625" customWidth="1"/>
    <col min="5" max="5" width="38" customWidth="1"/>
    <col min="6" max="6" width="44.140625" bestFit="1" customWidth="1"/>
    <col min="7" max="7" width="23.5703125" customWidth="1"/>
    <col min="8" max="8" width="26.5703125" customWidth="1"/>
    <col min="9" max="9" width="19.28515625" customWidth="1"/>
    <col min="10" max="10" width="23.140625" customWidth="1"/>
  </cols>
  <sheetData>
    <row r="1" spans="2:10" ht="32.25" customHeight="1" thickBot="1" x14ac:dyDescent="0.3">
      <c r="B1" s="119" t="s">
        <v>229</v>
      </c>
      <c r="C1" s="120"/>
      <c r="D1" s="120"/>
      <c r="E1" s="120"/>
      <c r="F1" s="121"/>
      <c r="G1" s="40"/>
      <c r="H1" s="119" t="s">
        <v>230</v>
      </c>
      <c r="I1" s="120"/>
      <c r="J1" s="121"/>
    </row>
    <row r="2" spans="2:10" ht="15.75" x14ac:dyDescent="0.25">
      <c r="B2" s="41"/>
      <c r="C2" s="41"/>
      <c r="D2" s="41"/>
      <c r="E2" s="41"/>
      <c r="F2" s="41"/>
      <c r="G2" s="41"/>
      <c r="H2" s="42"/>
      <c r="I2" s="43"/>
      <c r="J2" s="43"/>
    </row>
    <row r="3" spans="2:10" ht="48.75" customHeight="1" x14ac:dyDescent="0.25">
      <c r="B3" s="44" t="s">
        <v>231</v>
      </c>
      <c r="C3" s="45" t="s">
        <v>232</v>
      </c>
      <c r="D3" s="45" t="s">
        <v>233</v>
      </c>
      <c r="E3" s="45" t="s">
        <v>234</v>
      </c>
      <c r="F3" s="46" t="s">
        <v>235</v>
      </c>
      <c r="G3" s="47"/>
      <c r="H3" s="113" t="s">
        <v>236</v>
      </c>
      <c r="I3" s="115" t="s">
        <v>237</v>
      </c>
      <c r="J3" s="116"/>
    </row>
    <row r="4" spans="2:10" ht="19.5" customHeight="1" x14ac:dyDescent="0.25">
      <c r="B4" s="48" t="s">
        <v>216</v>
      </c>
      <c r="C4" s="49" t="s">
        <v>238</v>
      </c>
      <c r="D4" s="33">
        <v>8914188.5999999996</v>
      </c>
      <c r="E4" s="50">
        <v>9086000</v>
      </c>
      <c r="F4" s="51">
        <f t="shared" ref="F4:F11" si="0">(D4/E4)-1</f>
        <v>-1.8909465111160095E-2</v>
      </c>
      <c r="G4" s="52"/>
      <c r="H4" s="114"/>
      <c r="I4" s="117"/>
      <c r="J4" s="118"/>
    </row>
    <row r="5" spans="2:10" ht="19.5" customHeight="1" x14ac:dyDescent="0.25">
      <c r="B5" s="48" t="s">
        <v>217</v>
      </c>
      <c r="C5" s="53" t="s">
        <v>239</v>
      </c>
      <c r="D5" s="33">
        <v>9086000</v>
      </c>
      <c r="E5" s="50">
        <v>9086000</v>
      </c>
      <c r="F5" s="51">
        <f t="shared" si="0"/>
        <v>0</v>
      </c>
      <c r="G5" s="52"/>
      <c r="H5" s="113" t="s">
        <v>240</v>
      </c>
      <c r="I5" s="115" t="s">
        <v>241</v>
      </c>
      <c r="J5" s="116"/>
    </row>
    <row r="6" spans="2:10" ht="19.5" customHeight="1" x14ac:dyDescent="0.25">
      <c r="B6" s="48" t="s">
        <v>218</v>
      </c>
      <c r="C6" s="53" t="s">
        <v>242</v>
      </c>
      <c r="D6" s="33">
        <v>9086000</v>
      </c>
      <c r="E6" s="50">
        <v>9086000</v>
      </c>
      <c r="F6" s="51">
        <f t="shared" si="0"/>
        <v>0</v>
      </c>
      <c r="G6" s="52"/>
      <c r="H6" s="114"/>
      <c r="I6" s="117"/>
      <c r="J6" s="118"/>
    </row>
    <row r="7" spans="2:10" ht="19.5" customHeight="1" x14ac:dyDescent="0.25">
      <c r="B7" s="48" t="s">
        <v>219</v>
      </c>
      <c r="C7" s="53" t="s">
        <v>243</v>
      </c>
      <c r="D7" s="33">
        <v>9085000</v>
      </c>
      <c r="E7" s="50">
        <v>9086000</v>
      </c>
      <c r="F7" s="51">
        <f t="shared" si="0"/>
        <v>-1.1005943209330127E-4</v>
      </c>
      <c r="G7" s="52"/>
      <c r="H7" s="39"/>
      <c r="I7" s="39"/>
      <c r="J7" s="39"/>
    </row>
    <row r="8" spans="2:10" ht="19.5" customHeight="1" x14ac:dyDescent="0.25">
      <c r="B8" s="48" t="s">
        <v>220</v>
      </c>
      <c r="C8" s="53" t="s">
        <v>244</v>
      </c>
      <c r="D8" s="33">
        <v>9086000</v>
      </c>
      <c r="E8" s="50">
        <v>9086000</v>
      </c>
      <c r="F8" s="51">
        <f t="shared" si="0"/>
        <v>0</v>
      </c>
      <c r="G8" s="52"/>
      <c r="H8" s="122" t="s">
        <v>245</v>
      </c>
      <c r="I8" s="123"/>
      <c r="J8" s="124"/>
    </row>
    <row r="9" spans="2:10" ht="19.5" customHeight="1" x14ac:dyDescent="0.25">
      <c r="B9" s="48" t="s">
        <v>213</v>
      </c>
      <c r="C9" s="53" t="s">
        <v>246</v>
      </c>
      <c r="D9" s="33">
        <v>9086000</v>
      </c>
      <c r="E9" s="50">
        <v>9086000</v>
      </c>
      <c r="F9" s="51">
        <f t="shared" si="0"/>
        <v>0</v>
      </c>
      <c r="G9" s="52"/>
      <c r="H9" s="125" t="s">
        <v>247</v>
      </c>
      <c r="I9" s="126"/>
      <c r="J9" s="127"/>
    </row>
    <row r="10" spans="2:10" ht="19.5" customHeight="1" x14ac:dyDescent="0.25">
      <c r="B10" s="48" t="s">
        <v>248</v>
      </c>
      <c r="C10" s="53" t="s">
        <v>249</v>
      </c>
      <c r="D10" s="33">
        <v>9140173.7400000002</v>
      </c>
      <c r="E10" s="50">
        <v>9086000</v>
      </c>
      <c r="F10" s="51">
        <f t="shared" si="0"/>
        <v>5.9623310587717526E-3</v>
      </c>
      <c r="G10" s="52"/>
      <c r="H10" s="125" t="s">
        <v>250</v>
      </c>
      <c r="I10" s="126"/>
      <c r="J10" s="127"/>
    </row>
    <row r="11" spans="2:10" ht="19.5" customHeight="1" x14ac:dyDescent="0.25">
      <c r="B11" s="48" t="s">
        <v>222</v>
      </c>
      <c r="C11" s="54" t="s">
        <v>251</v>
      </c>
      <c r="D11" s="33">
        <v>9140173.7400000002</v>
      </c>
      <c r="E11" s="50">
        <v>9086000</v>
      </c>
      <c r="F11" s="51">
        <f t="shared" si="0"/>
        <v>5.9623310587717526E-3</v>
      </c>
      <c r="G11" s="52"/>
      <c r="H11" s="125" t="s">
        <v>252</v>
      </c>
      <c r="I11" s="126"/>
      <c r="J11" s="127"/>
    </row>
    <row r="12" spans="2:10" ht="20.25" customHeight="1" thickBot="1" x14ac:dyDescent="0.3">
      <c r="B12" s="55"/>
      <c r="C12" s="55"/>
      <c r="D12" s="39"/>
      <c r="E12" s="39"/>
      <c r="F12" s="39"/>
      <c r="G12" s="39"/>
      <c r="H12" s="128"/>
      <c r="I12" s="128"/>
      <c r="J12" s="128"/>
    </row>
    <row r="13" spans="2:10" ht="27.75" customHeight="1" thickBot="1" x14ac:dyDescent="0.3">
      <c r="B13" s="119" t="s">
        <v>253</v>
      </c>
      <c r="C13" s="120"/>
      <c r="D13" s="120"/>
      <c r="E13" s="120"/>
      <c r="F13" s="121"/>
      <c r="G13" s="40"/>
      <c r="H13" s="56"/>
      <c r="I13" s="39"/>
      <c r="J13" s="39"/>
    </row>
    <row r="14" spans="2:10" ht="15.75" x14ac:dyDescent="0.25">
      <c r="B14" s="39"/>
      <c r="C14" s="39"/>
      <c r="D14" s="39"/>
      <c r="E14" s="39"/>
      <c r="F14" s="39"/>
      <c r="G14" s="39"/>
      <c r="H14" s="39"/>
      <c r="I14" s="39"/>
      <c r="J14" s="39"/>
    </row>
    <row r="15" spans="2:10" ht="42.75" customHeight="1" x14ac:dyDescent="0.25">
      <c r="B15" s="44" t="s">
        <v>231</v>
      </c>
      <c r="C15" s="45" t="s">
        <v>232</v>
      </c>
      <c r="D15" s="45" t="s">
        <v>254</v>
      </c>
      <c r="E15" s="45" t="s">
        <v>234</v>
      </c>
      <c r="F15" s="46" t="s">
        <v>235</v>
      </c>
      <c r="G15" s="47"/>
      <c r="H15" s="39"/>
      <c r="I15" s="39"/>
      <c r="J15" s="39"/>
    </row>
    <row r="16" spans="2:10" ht="21" customHeight="1" x14ac:dyDescent="0.25">
      <c r="B16" s="48" t="s">
        <v>210</v>
      </c>
      <c r="C16" s="49" t="s">
        <v>255</v>
      </c>
      <c r="D16" s="33">
        <f xml:space="preserve"> 3180281.31 - 22064.26</f>
        <v>3158217.0500000003</v>
      </c>
      <c r="E16" s="50">
        <f xml:space="preserve"> 3180281.31 - 22064.26</f>
        <v>3158217.0500000003</v>
      </c>
      <c r="F16" s="51">
        <f t="shared" ref="F16:F22" si="1" xml:space="preserve"> (D16/E16) - 1</f>
        <v>0</v>
      </c>
      <c r="G16" s="52"/>
      <c r="H16" s="39"/>
      <c r="I16" s="39"/>
      <c r="J16" s="39"/>
    </row>
    <row r="17" spans="2:14" ht="21" customHeight="1" x14ac:dyDescent="0.25">
      <c r="B17" s="57" t="s">
        <v>211</v>
      </c>
      <c r="C17" s="58" t="s">
        <v>256</v>
      </c>
      <c r="D17" s="33">
        <f xml:space="preserve"> 3180281.31 - 22064.26</f>
        <v>3158217.0500000003</v>
      </c>
      <c r="E17" s="50">
        <f t="shared" ref="E17:E22" si="2" xml:space="preserve"> 3180281.31 - 22064.26</f>
        <v>3158217.0500000003</v>
      </c>
      <c r="F17" s="51">
        <f t="shared" si="1"/>
        <v>0</v>
      </c>
      <c r="G17" s="52"/>
      <c r="H17" s="39"/>
      <c r="I17" s="39"/>
      <c r="J17" s="39"/>
    </row>
    <row r="18" spans="2:14" ht="21" customHeight="1" x14ac:dyDescent="0.25">
      <c r="B18" s="57" t="s">
        <v>212</v>
      </c>
      <c r="C18" s="58" t="s">
        <v>257</v>
      </c>
      <c r="D18" s="33">
        <f xml:space="preserve"> 3180231.31 - 22064.26</f>
        <v>3158167.0500000003</v>
      </c>
      <c r="E18" s="50">
        <f t="shared" si="2"/>
        <v>3158217.0500000003</v>
      </c>
      <c r="F18" s="51">
        <f t="shared" si="1"/>
        <v>-1.5831717455894179E-5</v>
      </c>
      <c r="G18" s="52"/>
      <c r="H18" s="39"/>
      <c r="I18" s="39"/>
      <c r="J18" s="39"/>
    </row>
    <row r="19" spans="2:14" ht="21" customHeight="1" x14ac:dyDescent="0.25">
      <c r="B19" s="48" t="s">
        <v>209</v>
      </c>
      <c r="C19" s="58" t="s">
        <v>258</v>
      </c>
      <c r="D19" s="33">
        <f xml:space="preserve"> 3180231.31 - 22064.26</f>
        <v>3158167.0500000003</v>
      </c>
      <c r="E19" s="50">
        <f t="shared" si="2"/>
        <v>3158217.0500000003</v>
      </c>
      <c r="F19" s="51">
        <f t="shared" si="1"/>
        <v>-1.5831717455894179E-5</v>
      </c>
      <c r="G19" s="52"/>
      <c r="H19" s="39"/>
      <c r="I19" s="39"/>
      <c r="J19" s="39"/>
    </row>
    <row r="20" spans="2:14" ht="21" customHeight="1" x14ac:dyDescent="0.25">
      <c r="B20" s="57" t="s">
        <v>213</v>
      </c>
      <c r="C20" s="58" t="s">
        <v>259</v>
      </c>
      <c r="D20" s="33">
        <f xml:space="preserve"> 3180281.31 - 22064.26</f>
        <v>3158217.0500000003</v>
      </c>
      <c r="E20" s="50">
        <f t="shared" si="2"/>
        <v>3158217.0500000003</v>
      </c>
      <c r="F20" s="51">
        <f t="shared" si="1"/>
        <v>0</v>
      </c>
      <c r="G20" s="52"/>
      <c r="H20" s="39"/>
      <c r="I20" s="39"/>
      <c r="J20" s="39"/>
      <c r="N20" s="35"/>
    </row>
    <row r="21" spans="2:14" ht="21" customHeight="1" x14ac:dyDescent="0.25">
      <c r="B21" s="48" t="s">
        <v>214</v>
      </c>
      <c r="C21" s="58" t="s">
        <v>260</v>
      </c>
      <c r="D21" s="33">
        <f xml:space="preserve"> 3180281.31 - 22064.26</f>
        <v>3158217.0500000003</v>
      </c>
      <c r="E21" s="50">
        <f t="shared" si="2"/>
        <v>3158217.0500000003</v>
      </c>
      <c r="F21" s="51">
        <f t="shared" si="1"/>
        <v>0</v>
      </c>
      <c r="G21" s="52"/>
      <c r="H21" s="39"/>
      <c r="I21" s="39"/>
      <c r="J21" s="39"/>
    </row>
    <row r="22" spans="2:14" ht="21" customHeight="1" x14ac:dyDescent="0.25">
      <c r="B22" s="57" t="s">
        <v>215</v>
      </c>
      <c r="C22" s="58" t="s">
        <v>261</v>
      </c>
      <c r="D22" s="33">
        <f xml:space="preserve"> 3180281.31 - 22064.26</f>
        <v>3158217.0500000003</v>
      </c>
      <c r="E22" s="50">
        <f t="shared" si="2"/>
        <v>3158217.0500000003</v>
      </c>
      <c r="F22" s="51">
        <f t="shared" si="1"/>
        <v>0</v>
      </c>
      <c r="G22" s="52"/>
      <c r="H22" s="39"/>
      <c r="I22" s="39"/>
      <c r="J22" s="39"/>
    </row>
    <row r="23" spans="2:14" ht="16.5" customHeight="1" x14ac:dyDescent="0.25">
      <c r="B23" s="59"/>
      <c r="C23" s="60"/>
      <c r="D23" s="61"/>
      <c r="E23" s="62"/>
      <c r="F23" s="52"/>
      <c r="G23" s="52"/>
      <c r="H23" s="39"/>
      <c r="I23" s="39"/>
      <c r="J23" s="39"/>
    </row>
    <row r="24" spans="2:14" ht="16.5" customHeight="1" thickBot="1" x14ac:dyDescent="0.3">
      <c r="B24" s="59"/>
      <c r="C24" s="60"/>
      <c r="D24" s="61"/>
      <c r="E24" s="62"/>
      <c r="F24" s="52"/>
      <c r="G24" s="52"/>
      <c r="H24" s="39"/>
      <c r="I24" s="39"/>
      <c r="J24" s="39"/>
    </row>
    <row r="25" spans="2:14" ht="27" customHeight="1" thickBot="1" x14ac:dyDescent="0.3">
      <c r="B25" s="119" t="s">
        <v>262</v>
      </c>
      <c r="C25" s="120"/>
      <c r="D25" s="120"/>
      <c r="E25" s="120"/>
      <c r="F25" s="120"/>
      <c r="G25" s="121"/>
      <c r="H25" s="56"/>
      <c r="I25" s="39"/>
      <c r="J25" s="39"/>
    </row>
    <row r="26" spans="2:14" ht="16.5" customHeight="1" x14ac:dyDescent="0.25">
      <c r="B26" s="39"/>
      <c r="C26" s="56"/>
      <c r="D26" s="56"/>
      <c r="E26" s="56"/>
      <c r="F26" s="56"/>
      <c r="G26" s="56"/>
      <c r="H26" s="56"/>
      <c r="I26" s="39"/>
      <c r="J26" s="39"/>
    </row>
    <row r="27" spans="2:14" ht="43.5" customHeight="1" x14ac:dyDescent="0.25">
      <c r="B27" s="63" t="s">
        <v>263</v>
      </c>
      <c r="C27" s="64" t="s">
        <v>231</v>
      </c>
      <c r="D27" s="65" t="s">
        <v>232</v>
      </c>
      <c r="E27" s="65" t="s">
        <v>264</v>
      </c>
      <c r="F27" s="66" t="s">
        <v>265</v>
      </c>
      <c r="G27" s="67" t="s">
        <v>266</v>
      </c>
    </row>
    <row r="28" spans="2:14" ht="16.5" customHeight="1" x14ac:dyDescent="0.25">
      <c r="B28" s="68" t="s">
        <v>267</v>
      </c>
      <c r="C28" s="69" t="s">
        <v>210</v>
      </c>
      <c r="D28" s="49" t="s">
        <v>268</v>
      </c>
      <c r="E28" s="70">
        <f t="shared" ref="E28:E34" si="3">F16</f>
        <v>0</v>
      </c>
      <c r="F28" s="71">
        <v>1623857.35</v>
      </c>
      <c r="G28" s="72">
        <f t="shared" ref="G28:G34" si="4">F28*(1+E28)</f>
        <v>1623857.35</v>
      </c>
    </row>
    <row r="29" spans="2:14" ht="16.5" customHeight="1" x14ac:dyDescent="0.25">
      <c r="B29" s="68" t="s">
        <v>267</v>
      </c>
      <c r="C29" s="57" t="s">
        <v>211</v>
      </c>
      <c r="D29" s="58" t="s">
        <v>269</v>
      </c>
      <c r="E29" s="70">
        <f t="shared" si="3"/>
        <v>0</v>
      </c>
      <c r="F29" s="71">
        <v>1623857.35</v>
      </c>
      <c r="G29" s="72">
        <f t="shared" si="4"/>
        <v>1623857.35</v>
      </c>
    </row>
    <row r="30" spans="2:14" ht="16.5" customHeight="1" x14ac:dyDescent="0.25">
      <c r="B30" s="68" t="s">
        <v>267</v>
      </c>
      <c r="C30" s="57" t="s">
        <v>212</v>
      </c>
      <c r="D30" s="58" t="s">
        <v>270</v>
      </c>
      <c r="E30" s="70">
        <f t="shared" si="3"/>
        <v>-1.5831717455894179E-5</v>
      </c>
      <c r="F30" s="71">
        <v>1623857.35</v>
      </c>
      <c r="G30" s="72">
        <f t="shared" si="4"/>
        <v>1623831.6415492462</v>
      </c>
    </row>
    <row r="31" spans="2:14" ht="16.5" customHeight="1" x14ac:dyDescent="0.25">
      <c r="B31" s="68" t="s">
        <v>267</v>
      </c>
      <c r="C31" s="69" t="s">
        <v>209</v>
      </c>
      <c r="D31" s="58" t="s">
        <v>239</v>
      </c>
      <c r="E31" s="70">
        <f t="shared" si="3"/>
        <v>-1.5831717455894179E-5</v>
      </c>
      <c r="F31" s="71">
        <v>1623857.35</v>
      </c>
      <c r="G31" s="72">
        <f t="shared" si="4"/>
        <v>1623831.6415492462</v>
      </c>
    </row>
    <row r="32" spans="2:14" ht="16.5" customHeight="1" x14ac:dyDescent="0.25">
      <c r="B32" s="68" t="s">
        <v>267</v>
      </c>
      <c r="C32" s="57" t="s">
        <v>213</v>
      </c>
      <c r="D32" s="58" t="s">
        <v>246</v>
      </c>
      <c r="E32" s="70">
        <f t="shared" si="3"/>
        <v>0</v>
      </c>
      <c r="F32" s="71">
        <v>1623857.35</v>
      </c>
      <c r="G32" s="72">
        <f t="shared" si="4"/>
        <v>1623857.35</v>
      </c>
    </row>
    <row r="33" spans="2:7" ht="16.5" customHeight="1" x14ac:dyDescent="0.25">
      <c r="B33" s="68" t="s">
        <v>267</v>
      </c>
      <c r="C33" s="69" t="s">
        <v>214</v>
      </c>
      <c r="D33" s="58" t="s">
        <v>271</v>
      </c>
      <c r="E33" s="70">
        <f t="shared" si="3"/>
        <v>0</v>
      </c>
      <c r="F33" s="71">
        <v>1623857.35</v>
      </c>
      <c r="G33" s="72">
        <f t="shared" si="4"/>
        <v>1623857.35</v>
      </c>
    </row>
    <row r="34" spans="2:7" ht="16.5" customHeight="1" x14ac:dyDescent="0.25">
      <c r="B34" s="68" t="s">
        <v>267</v>
      </c>
      <c r="C34" s="57" t="s">
        <v>215</v>
      </c>
      <c r="D34" s="58" t="s">
        <v>272</v>
      </c>
      <c r="E34" s="70">
        <f t="shared" si="3"/>
        <v>0</v>
      </c>
      <c r="F34" s="71">
        <v>1623857.35</v>
      </c>
      <c r="G34" s="72">
        <f t="shared" si="4"/>
        <v>1623857.35</v>
      </c>
    </row>
    <row r="35" spans="2:7" ht="16.5" customHeight="1" x14ac:dyDescent="0.25">
      <c r="B35" s="68" t="s">
        <v>273</v>
      </c>
      <c r="C35" s="69" t="s">
        <v>216</v>
      </c>
      <c r="D35" s="49" t="s">
        <v>238</v>
      </c>
      <c r="E35" s="73">
        <f>F4</f>
        <v>-1.8909465111160095E-2</v>
      </c>
      <c r="F35" s="71">
        <v>1623857.35</v>
      </c>
      <c r="G35" s="72">
        <f t="shared" ref="G35:G41" si="5">F35* (1 + E35)</f>
        <v>1593151.0760946742</v>
      </c>
    </row>
    <row r="36" spans="2:7" ht="16.5" customHeight="1" x14ac:dyDescent="0.25">
      <c r="B36" s="68" t="s">
        <v>273</v>
      </c>
      <c r="C36" s="57" t="s">
        <v>217</v>
      </c>
      <c r="D36" s="53" t="s">
        <v>239</v>
      </c>
      <c r="E36" s="73">
        <f>F5</f>
        <v>0</v>
      </c>
      <c r="F36" s="71">
        <v>1623857.35</v>
      </c>
      <c r="G36" s="72">
        <f t="shared" si="5"/>
        <v>1623857.35</v>
      </c>
    </row>
    <row r="37" spans="2:7" ht="16.5" customHeight="1" x14ac:dyDescent="0.25">
      <c r="B37" s="68" t="s">
        <v>273</v>
      </c>
      <c r="C37" s="57" t="s">
        <v>218</v>
      </c>
      <c r="D37" s="53" t="s">
        <v>242</v>
      </c>
      <c r="E37" s="73">
        <f t="shared" ref="E37:E40" si="6">F6</f>
        <v>0</v>
      </c>
      <c r="F37" s="71">
        <v>1623857.35</v>
      </c>
      <c r="G37" s="72">
        <f t="shared" si="5"/>
        <v>1623857.35</v>
      </c>
    </row>
    <row r="38" spans="2:7" ht="16.5" customHeight="1" x14ac:dyDescent="0.25">
      <c r="B38" s="68" t="s">
        <v>273</v>
      </c>
      <c r="C38" s="69" t="s">
        <v>274</v>
      </c>
      <c r="D38" s="53" t="s">
        <v>243</v>
      </c>
      <c r="E38" s="73">
        <f t="shared" si="6"/>
        <v>-1.1005943209330127E-4</v>
      </c>
      <c r="F38" s="71">
        <v>1623857.35</v>
      </c>
      <c r="G38" s="72">
        <f t="shared" si="5"/>
        <v>1623678.6291822586</v>
      </c>
    </row>
    <row r="39" spans="2:7" ht="16.5" customHeight="1" x14ac:dyDescent="0.25">
      <c r="B39" s="68" t="s">
        <v>273</v>
      </c>
      <c r="C39" s="57" t="s">
        <v>220</v>
      </c>
      <c r="D39" s="53" t="s">
        <v>244</v>
      </c>
      <c r="E39" s="73">
        <f t="shared" si="6"/>
        <v>0</v>
      </c>
      <c r="F39" s="71">
        <v>1623857.35</v>
      </c>
      <c r="G39" s="72">
        <f t="shared" si="5"/>
        <v>1623857.35</v>
      </c>
    </row>
    <row r="40" spans="2:7" ht="16.5" customHeight="1" x14ac:dyDescent="0.25">
      <c r="B40" s="68" t="s">
        <v>273</v>
      </c>
      <c r="C40" s="69" t="s">
        <v>213</v>
      </c>
      <c r="D40" s="53" t="s">
        <v>246</v>
      </c>
      <c r="E40" s="73">
        <f t="shared" si="6"/>
        <v>0</v>
      </c>
      <c r="F40" s="71">
        <v>1623857.35</v>
      </c>
      <c r="G40" s="72">
        <f t="shared" si="5"/>
        <v>1623857.35</v>
      </c>
    </row>
    <row r="41" spans="2:7" ht="16.5" customHeight="1" x14ac:dyDescent="0.25">
      <c r="B41" s="68" t="s">
        <v>273</v>
      </c>
      <c r="C41" s="57" t="s">
        <v>248</v>
      </c>
      <c r="D41" s="53" t="s">
        <v>249</v>
      </c>
      <c r="E41" s="73">
        <f>F10</f>
        <v>5.9623310587717526E-3</v>
      </c>
      <c r="F41" s="71">
        <v>1623857.35</v>
      </c>
      <c r="G41" s="72">
        <f t="shared" si="5"/>
        <v>1633539.3251129198</v>
      </c>
    </row>
    <row r="42" spans="2:7" ht="16.5" customHeight="1" x14ac:dyDescent="0.25">
      <c r="B42" s="74" t="s">
        <v>273</v>
      </c>
      <c r="C42" s="75" t="s">
        <v>222</v>
      </c>
      <c r="D42" s="76" t="s">
        <v>251</v>
      </c>
      <c r="E42" s="77">
        <f>F11</f>
        <v>5.9623310587717526E-3</v>
      </c>
      <c r="F42" s="78">
        <v>1623857.35</v>
      </c>
      <c r="G42" s="79">
        <f>F42* (1 + E42)</f>
        <v>1633539.3251129198</v>
      </c>
    </row>
    <row r="43" spans="2:7" ht="31.5" customHeight="1" x14ac:dyDescent="0.25">
      <c r="B43" s="80" t="s">
        <v>275</v>
      </c>
      <c r="D43" s="81"/>
      <c r="E43" s="82">
        <f>SUBTOTAL(101,Tabela1[Valor da Taxa (TA) ofertado no Pregão])</f>
        <v>-4.7510172404144531E-4</v>
      </c>
      <c r="F43" s="83">
        <f>SUBTOTAL(101,Tabela1[VE (valor da estimativa do TRE)])</f>
        <v>1623857.3500000003</v>
      </c>
      <c r="G43" s="84">
        <f>SUBTOTAL(101,Tabela1[P = VE (1+TA)])</f>
        <v>1623085.8525734178</v>
      </c>
    </row>
    <row r="44" spans="2:7" x14ac:dyDescent="0.25">
      <c r="B44" s="85"/>
      <c r="C44" s="86"/>
      <c r="D44" s="86"/>
    </row>
    <row r="45" spans="2:7" x14ac:dyDescent="0.25">
      <c r="B45" s="85"/>
      <c r="C45" s="86"/>
      <c r="D45" s="86"/>
    </row>
    <row r="46" spans="2:7" x14ac:dyDescent="0.25">
      <c r="B46" s="85"/>
      <c r="C46" s="86"/>
      <c r="D46" s="86"/>
    </row>
    <row r="47" spans="2:7" x14ac:dyDescent="0.25">
      <c r="B47" s="85"/>
      <c r="C47" s="86"/>
      <c r="D47" s="86"/>
    </row>
    <row r="48" spans="2:7" x14ac:dyDescent="0.25">
      <c r="B48" s="35"/>
      <c r="C48" s="35"/>
      <c r="D48" s="35"/>
    </row>
    <row r="49" spans="2:8" x14ac:dyDescent="0.25">
      <c r="B49" s="87"/>
      <c r="C49" s="87"/>
      <c r="D49" s="87"/>
    </row>
    <row r="50" spans="2:8" x14ac:dyDescent="0.25">
      <c r="B50" s="37"/>
      <c r="C50" s="37"/>
      <c r="D50" s="37"/>
    </row>
    <row r="51" spans="2:8" x14ac:dyDescent="0.25">
      <c r="B51" s="37"/>
      <c r="C51" s="37"/>
      <c r="D51" s="37"/>
    </row>
    <row r="52" spans="2:8" x14ac:dyDescent="0.25">
      <c r="B52" s="35"/>
      <c r="C52" s="35"/>
      <c r="D52" s="88"/>
    </row>
    <row r="53" spans="2:8" x14ac:dyDescent="0.25">
      <c r="B53" s="87"/>
      <c r="C53" s="87"/>
      <c r="D53" s="87"/>
      <c r="E53" s="87"/>
      <c r="F53" s="87"/>
      <c r="G53" s="87"/>
      <c r="H53" s="87"/>
    </row>
    <row r="54" spans="2:8" x14ac:dyDescent="0.25">
      <c r="B54" s="35"/>
      <c r="C54" s="89"/>
      <c r="D54" s="89"/>
      <c r="E54" s="89"/>
      <c r="F54" s="89"/>
      <c r="G54" s="89"/>
      <c r="H54" s="89"/>
    </row>
    <row r="55" spans="2:8" x14ac:dyDescent="0.25">
      <c r="B55" s="90"/>
      <c r="C55" s="90"/>
      <c r="D55" s="91"/>
      <c r="E55" s="91"/>
      <c r="F55" s="92"/>
      <c r="G55" s="92"/>
      <c r="H55" s="92"/>
    </row>
    <row r="56" spans="2:8" x14ac:dyDescent="0.25">
      <c r="B56" s="93"/>
      <c r="C56" s="94"/>
      <c r="D56" s="95"/>
      <c r="E56" s="96"/>
      <c r="F56" s="38"/>
      <c r="G56" s="38"/>
      <c r="H56" s="38"/>
    </row>
    <row r="57" spans="2:8" x14ac:dyDescent="0.25">
      <c r="B57" s="93"/>
      <c r="C57" s="87"/>
      <c r="D57" s="97"/>
      <c r="E57" s="96"/>
      <c r="F57" s="38"/>
      <c r="G57" s="38"/>
      <c r="H57" s="38"/>
    </row>
    <row r="58" spans="2:8" x14ac:dyDescent="0.25">
      <c r="B58" s="93"/>
      <c r="C58" s="87"/>
      <c r="D58" s="97"/>
      <c r="E58" s="96"/>
      <c r="F58" s="38"/>
      <c r="G58" s="38"/>
      <c r="H58" s="38"/>
    </row>
    <row r="59" spans="2:8" x14ac:dyDescent="0.25">
      <c r="B59" s="93"/>
      <c r="C59" s="94"/>
      <c r="D59" s="97"/>
      <c r="E59" s="96"/>
      <c r="F59" s="38"/>
      <c r="G59" s="38"/>
      <c r="H59" s="38"/>
    </row>
    <row r="60" spans="2:8" x14ac:dyDescent="0.25">
      <c r="B60" s="93"/>
      <c r="C60" s="87"/>
      <c r="D60" s="97"/>
      <c r="E60" s="96"/>
      <c r="F60" s="38"/>
      <c r="G60" s="38"/>
      <c r="H60" s="38"/>
    </row>
    <row r="61" spans="2:8" x14ac:dyDescent="0.25">
      <c r="B61" s="93"/>
      <c r="C61" s="94"/>
      <c r="D61" s="97"/>
      <c r="E61" s="96"/>
      <c r="F61" s="38"/>
      <c r="G61" s="38"/>
      <c r="H61" s="38"/>
    </row>
    <row r="62" spans="2:8" x14ac:dyDescent="0.25">
      <c r="B62" s="93"/>
      <c r="C62" s="87"/>
      <c r="D62" s="97"/>
      <c r="E62" s="96"/>
      <c r="F62" s="38"/>
      <c r="G62" s="38"/>
      <c r="H62" s="38"/>
    </row>
    <row r="63" spans="2:8" x14ac:dyDescent="0.25">
      <c r="B63" s="36"/>
      <c r="C63" s="94"/>
      <c r="D63" s="95"/>
      <c r="E63" s="98"/>
      <c r="F63" s="38"/>
      <c r="G63" s="38"/>
      <c r="H63" s="38"/>
    </row>
    <row r="64" spans="2:8" x14ac:dyDescent="0.25">
      <c r="B64" s="36"/>
      <c r="C64" s="87"/>
      <c r="D64" s="99"/>
      <c r="E64" s="98"/>
      <c r="F64" s="38"/>
      <c r="G64" s="38"/>
      <c r="H64" s="38"/>
    </row>
    <row r="65" spans="2:8" x14ac:dyDescent="0.25">
      <c r="B65" s="36"/>
      <c r="C65" s="87"/>
      <c r="D65" s="99"/>
      <c r="E65" s="98"/>
      <c r="F65" s="38"/>
      <c r="G65" s="38"/>
      <c r="H65" s="38"/>
    </row>
    <row r="66" spans="2:8" x14ac:dyDescent="0.25">
      <c r="B66" s="36"/>
      <c r="C66" s="94"/>
      <c r="D66" s="99"/>
      <c r="E66" s="98"/>
      <c r="F66" s="38"/>
      <c r="G66" s="38"/>
      <c r="H66" s="38"/>
    </row>
    <row r="67" spans="2:8" x14ac:dyDescent="0.25">
      <c r="B67" s="36"/>
      <c r="C67" s="87"/>
      <c r="D67" s="99"/>
      <c r="E67" s="98"/>
      <c r="F67" s="38"/>
      <c r="G67" s="38"/>
      <c r="H67" s="38"/>
    </row>
    <row r="68" spans="2:8" x14ac:dyDescent="0.25">
      <c r="B68" s="36"/>
      <c r="C68" s="94"/>
      <c r="D68" s="99"/>
      <c r="E68" s="98"/>
      <c r="F68" s="38"/>
      <c r="G68" s="38"/>
      <c r="H68" s="38"/>
    </row>
    <row r="69" spans="2:8" x14ac:dyDescent="0.25">
      <c r="B69" s="36"/>
      <c r="C69" s="87"/>
      <c r="D69" s="99"/>
      <c r="E69" s="98"/>
      <c r="F69" s="38"/>
      <c r="G69" s="38"/>
      <c r="H69" s="38"/>
    </row>
    <row r="70" spans="2:8" x14ac:dyDescent="0.25">
      <c r="B70" s="35"/>
      <c r="C70" s="35"/>
      <c r="D70" s="35"/>
      <c r="E70" s="35"/>
      <c r="F70" s="35"/>
      <c r="G70" s="35"/>
      <c r="H70" s="35"/>
    </row>
  </sheetData>
  <mergeCells count="13">
    <mergeCell ref="B25:G25"/>
    <mergeCell ref="H8:J8"/>
    <mergeCell ref="H9:J9"/>
    <mergeCell ref="H10:J10"/>
    <mergeCell ref="H11:J11"/>
    <mergeCell ref="H12:J12"/>
    <mergeCell ref="B13:F13"/>
    <mergeCell ref="H5:H6"/>
    <mergeCell ref="I5:J6"/>
    <mergeCell ref="B1:F1"/>
    <mergeCell ref="H1:J1"/>
    <mergeCell ref="H3:H4"/>
    <mergeCell ref="I3:J4"/>
  </mergeCells>
  <pageMargins left="0.511811024" right="0.511811024" top="0.78740157499999996" bottom="0.78740157499999996" header="0.31496062000000002" footer="0.31496062000000002"/>
  <pageSetup paperSize="9" scale="40" orientation="landscape" r:id="rId1"/>
  <colBreaks count="1" manualBreakCount="1">
    <brk id="10" max="1048575" man="1"/>
  </colBreak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4</v>
      </c>
      <c r="B3" s="106" t="s">
        <v>34</v>
      </c>
      <c r="C3" s="108" t="s">
        <v>7</v>
      </c>
      <c r="D3" s="108">
        <v>2</v>
      </c>
      <c r="E3" s="109">
        <f>IF(C20&lt;=25%,D20,MIN(E20:F20))</f>
        <v>1386.39</v>
      </c>
      <c r="F3" s="109">
        <f>MIN(H3:H17)</f>
        <v>800</v>
      </c>
      <c r="G3" s="5" t="s">
        <v>73</v>
      </c>
      <c r="H3" s="16">
        <v>940</v>
      </c>
      <c r="I3" s="17">
        <f>IF(H3="","",(IF($C$20&lt;25%,"n/a",IF(H3&lt;=($D$20+$A$20),H3,"Descartado"))))</f>
        <v>940</v>
      </c>
    </row>
    <row r="4" spans="1:9" x14ac:dyDescent="0.25">
      <c r="A4" s="111"/>
      <c r="B4" s="107"/>
      <c r="C4" s="108"/>
      <c r="D4" s="108"/>
      <c r="E4" s="109"/>
      <c r="F4" s="109"/>
      <c r="G4" s="5" t="s">
        <v>74</v>
      </c>
      <c r="H4" s="16">
        <v>2144.34</v>
      </c>
      <c r="I4" s="17">
        <f t="shared" ref="I4:I17" si="0">IF(H4="","",(IF($C$20&lt;25%,"n/a",IF(H4&lt;=($D$20+$A$20),H4,"Descartado"))))</f>
        <v>2144.34</v>
      </c>
    </row>
    <row r="5" spans="1:9" x14ac:dyDescent="0.25">
      <c r="A5" s="111"/>
      <c r="B5" s="107"/>
      <c r="C5" s="108"/>
      <c r="D5" s="108"/>
      <c r="E5" s="109"/>
      <c r="F5" s="109"/>
      <c r="G5" s="5" t="s">
        <v>75</v>
      </c>
      <c r="H5" s="16">
        <v>925</v>
      </c>
      <c r="I5" s="17">
        <f t="shared" si="0"/>
        <v>925</v>
      </c>
    </row>
    <row r="6" spans="1:9" x14ac:dyDescent="0.25">
      <c r="A6" s="111"/>
      <c r="B6" s="107"/>
      <c r="C6" s="108"/>
      <c r="D6" s="108"/>
      <c r="E6" s="109"/>
      <c r="F6" s="109"/>
      <c r="G6" s="5" t="s">
        <v>76</v>
      </c>
      <c r="H6" s="16">
        <v>4280.84</v>
      </c>
      <c r="I6" s="17" t="str">
        <f t="shared" si="0"/>
        <v>Descartado</v>
      </c>
    </row>
    <row r="7" spans="1:9" x14ac:dyDescent="0.25">
      <c r="A7" s="111"/>
      <c r="B7" s="107"/>
      <c r="C7" s="108"/>
      <c r="D7" s="108"/>
      <c r="E7" s="109"/>
      <c r="F7" s="109"/>
      <c r="G7" s="5" t="s">
        <v>67</v>
      </c>
      <c r="H7" s="16">
        <v>1402</v>
      </c>
      <c r="I7" s="17">
        <f t="shared" si="0"/>
        <v>1402</v>
      </c>
    </row>
    <row r="8" spans="1:9" x14ac:dyDescent="0.25">
      <c r="A8" s="111"/>
      <c r="B8" s="107"/>
      <c r="C8" s="108"/>
      <c r="D8" s="108"/>
      <c r="E8" s="109"/>
      <c r="F8" s="109"/>
      <c r="G8" s="5" t="s">
        <v>77</v>
      </c>
      <c r="H8" s="16">
        <v>2100</v>
      </c>
      <c r="I8" s="17">
        <f t="shared" si="0"/>
        <v>2100</v>
      </c>
    </row>
    <row r="9" spans="1:9" x14ac:dyDescent="0.25">
      <c r="A9" s="111"/>
      <c r="B9" s="107"/>
      <c r="C9" s="108"/>
      <c r="D9" s="108"/>
      <c r="E9" s="109"/>
      <c r="F9" s="109"/>
      <c r="G9" s="5" t="s">
        <v>78</v>
      </c>
      <c r="H9" s="16">
        <v>3777</v>
      </c>
      <c r="I9" s="17" t="str">
        <f t="shared" si="0"/>
        <v>Descartado</v>
      </c>
    </row>
    <row r="10" spans="1:9" x14ac:dyDescent="0.25">
      <c r="A10" s="111"/>
      <c r="B10" s="107"/>
      <c r="C10" s="108"/>
      <c r="D10" s="108"/>
      <c r="E10" s="109"/>
      <c r="F10" s="109"/>
      <c r="G10" s="5" t="s">
        <v>59</v>
      </c>
      <c r="H10" s="16">
        <v>1375</v>
      </c>
      <c r="I10" s="17">
        <f t="shared" si="0"/>
        <v>1375</v>
      </c>
    </row>
    <row r="11" spans="1:9" x14ac:dyDescent="0.25">
      <c r="A11" s="111"/>
      <c r="B11" s="107"/>
      <c r="C11" s="108"/>
      <c r="D11" s="108"/>
      <c r="E11" s="109"/>
      <c r="F11" s="109"/>
      <c r="G11" s="5" t="s">
        <v>79</v>
      </c>
      <c r="H11" s="16">
        <v>1999</v>
      </c>
      <c r="I11" s="17">
        <f t="shared" si="0"/>
        <v>1999</v>
      </c>
    </row>
    <row r="12" spans="1:9" x14ac:dyDescent="0.25">
      <c r="A12" s="111"/>
      <c r="B12" s="107"/>
      <c r="C12" s="108"/>
      <c r="D12" s="108"/>
      <c r="E12" s="109"/>
      <c r="F12" s="109"/>
      <c r="G12" s="5" t="s">
        <v>80</v>
      </c>
      <c r="H12" s="16">
        <v>877.55</v>
      </c>
      <c r="I12" s="17">
        <f t="shared" si="0"/>
        <v>877.55</v>
      </c>
    </row>
    <row r="13" spans="1:9" x14ac:dyDescent="0.25">
      <c r="A13" s="111"/>
      <c r="B13" s="107"/>
      <c r="C13" s="108"/>
      <c r="D13" s="108"/>
      <c r="E13" s="109"/>
      <c r="F13" s="109"/>
      <c r="G13" s="5" t="s">
        <v>173</v>
      </c>
      <c r="H13" s="16">
        <v>1301.05</v>
      </c>
      <c r="I13" s="17">
        <f t="shared" si="0"/>
        <v>1301.05</v>
      </c>
    </row>
    <row r="14" spans="1:9" x14ac:dyDescent="0.25">
      <c r="A14" s="111"/>
      <c r="B14" s="107"/>
      <c r="C14" s="108"/>
      <c r="D14" s="108"/>
      <c r="E14" s="109"/>
      <c r="F14" s="109"/>
      <c r="G14" s="5" t="s">
        <v>170</v>
      </c>
      <c r="H14" s="16">
        <v>800</v>
      </c>
      <c r="I14" s="17">
        <f t="shared" si="0"/>
        <v>800</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5</v>
      </c>
      <c r="B3" s="106" t="s">
        <v>35</v>
      </c>
      <c r="C3" s="108" t="s">
        <v>7</v>
      </c>
      <c r="D3" s="108">
        <v>1</v>
      </c>
      <c r="E3" s="109">
        <f>IF(C20&lt;=25%,D20,MIN(E20:F20))</f>
        <v>7540.83</v>
      </c>
      <c r="F3" s="109">
        <f>MIN(H3:H17)</f>
        <v>1172.6600000000001</v>
      </c>
      <c r="G3" s="5" t="s">
        <v>81</v>
      </c>
      <c r="H3" s="16">
        <v>9050</v>
      </c>
      <c r="I3" s="17">
        <f>IF(H3="","",(IF($C$20&lt;25%,"n/a",IF(H3&lt;=($D$20+$A$20),H3,"Descartado"))))</f>
        <v>9050</v>
      </c>
    </row>
    <row r="4" spans="1:9" x14ac:dyDescent="0.25">
      <c r="A4" s="111"/>
      <c r="B4" s="107"/>
      <c r="C4" s="108"/>
      <c r="D4" s="108"/>
      <c r="E4" s="109"/>
      <c r="F4" s="109"/>
      <c r="G4" s="5" t="s">
        <v>67</v>
      </c>
      <c r="H4" s="16">
        <v>5737.44</v>
      </c>
      <c r="I4" s="17">
        <f t="shared" ref="I4:I17" si="0">IF(H4="","",(IF($C$20&lt;25%,"n/a",IF(H4&lt;=($D$20+$A$20),H4,"Descartado"))))</f>
        <v>5737.44</v>
      </c>
    </row>
    <row r="5" spans="1:9" x14ac:dyDescent="0.25">
      <c r="A5" s="111"/>
      <c r="B5" s="107"/>
      <c r="C5" s="108"/>
      <c r="D5" s="108"/>
      <c r="E5" s="109"/>
      <c r="F5" s="109"/>
      <c r="G5" s="5" t="s">
        <v>82</v>
      </c>
      <c r="H5" s="16">
        <v>1172.6600000000001</v>
      </c>
      <c r="I5" s="17">
        <f t="shared" si="0"/>
        <v>1172.6600000000001</v>
      </c>
    </row>
    <row r="6" spans="1:9" x14ac:dyDescent="0.25">
      <c r="A6" s="111"/>
      <c r="B6" s="107"/>
      <c r="C6" s="108"/>
      <c r="D6" s="108"/>
      <c r="E6" s="109"/>
      <c r="F6" s="109"/>
      <c r="G6" s="5" t="s">
        <v>75</v>
      </c>
      <c r="H6" s="16">
        <v>3900</v>
      </c>
      <c r="I6" s="17">
        <f t="shared" si="0"/>
        <v>3900</v>
      </c>
    </row>
    <row r="7" spans="1:9" x14ac:dyDescent="0.25">
      <c r="A7" s="111"/>
      <c r="B7" s="107"/>
      <c r="C7" s="108"/>
      <c r="D7" s="108"/>
      <c r="E7" s="109"/>
      <c r="F7" s="109"/>
      <c r="G7" s="5" t="s">
        <v>69</v>
      </c>
      <c r="H7" s="16">
        <v>7969</v>
      </c>
      <c r="I7" s="17">
        <f t="shared" si="0"/>
        <v>7969</v>
      </c>
    </row>
    <row r="8" spans="1:9" x14ac:dyDescent="0.25">
      <c r="A8" s="111"/>
      <c r="B8" s="107"/>
      <c r="C8" s="108"/>
      <c r="D8" s="108"/>
      <c r="E8" s="109"/>
      <c r="F8" s="109"/>
      <c r="G8" s="5" t="s">
        <v>83</v>
      </c>
      <c r="H8" s="16">
        <v>7680</v>
      </c>
      <c r="I8" s="17">
        <f t="shared" si="0"/>
        <v>7680</v>
      </c>
    </row>
    <row r="9" spans="1:9" x14ac:dyDescent="0.25">
      <c r="A9" s="111"/>
      <c r="B9" s="107"/>
      <c r="C9" s="108"/>
      <c r="D9" s="108"/>
      <c r="E9" s="109"/>
      <c r="F9" s="109"/>
      <c r="G9" s="5" t="s">
        <v>84</v>
      </c>
      <c r="H9" s="16">
        <v>10150</v>
      </c>
      <c r="I9" s="17">
        <f t="shared" si="0"/>
        <v>10150</v>
      </c>
    </row>
    <row r="10" spans="1:9" x14ac:dyDescent="0.25">
      <c r="A10" s="111"/>
      <c r="B10" s="107"/>
      <c r="C10" s="108"/>
      <c r="D10" s="108"/>
      <c r="E10" s="109"/>
      <c r="F10" s="109"/>
      <c r="G10" s="5" t="s">
        <v>85</v>
      </c>
      <c r="H10" s="16">
        <v>10040</v>
      </c>
      <c r="I10" s="17">
        <f t="shared" si="0"/>
        <v>10040</v>
      </c>
    </row>
    <row r="11" spans="1:9" x14ac:dyDescent="0.25">
      <c r="A11" s="111"/>
      <c r="B11" s="107"/>
      <c r="C11" s="108"/>
      <c r="D11" s="108"/>
      <c r="E11" s="109"/>
      <c r="F11" s="109"/>
      <c r="G11" s="5" t="s">
        <v>61</v>
      </c>
      <c r="H11" s="16">
        <v>10600</v>
      </c>
      <c r="I11" s="17">
        <f t="shared" si="0"/>
        <v>10600</v>
      </c>
    </row>
    <row r="12" spans="1:9" x14ac:dyDescent="0.25">
      <c r="A12" s="111"/>
      <c r="B12" s="107"/>
      <c r="C12" s="108"/>
      <c r="D12" s="108"/>
      <c r="E12" s="109"/>
      <c r="F12" s="109"/>
      <c r="G12" s="5" t="s">
        <v>60</v>
      </c>
      <c r="H12" s="16">
        <v>8000</v>
      </c>
      <c r="I12" s="17">
        <f t="shared" si="0"/>
        <v>8000</v>
      </c>
    </row>
    <row r="13" spans="1:9" x14ac:dyDescent="0.25">
      <c r="A13" s="111"/>
      <c r="B13" s="107"/>
      <c r="C13" s="108"/>
      <c r="D13" s="108"/>
      <c r="E13" s="109"/>
      <c r="F13" s="109"/>
      <c r="G13" s="5" t="s">
        <v>86</v>
      </c>
      <c r="H13" s="16">
        <v>14086.4</v>
      </c>
      <c r="I13" s="17" t="str">
        <f t="shared" si="0"/>
        <v>Descartado</v>
      </c>
    </row>
    <row r="14" spans="1:9" x14ac:dyDescent="0.25">
      <c r="A14" s="111"/>
      <c r="B14" s="107"/>
      <c r="C14" s="108"/>
      <c r="D14" s="108"/>
      <c r="E14" s="109"/>
      <c r="F14" s="109"/>
      <c r="G14" s="5" t="s">
        <v>87</v>
      </c>
      <c r="H14" s="16">
        <v>8650</v>
      </c>
      <c r="I14" s="17">
        <f t="shared" si="0"/>
        <v>8650</v>
      </c>
    </row>
    <row r="15" spans="1:9" x14ac:dyDescent="0.25">
      <c r="A15" s="111"/>
      <c r="B15" s="107"/>
      <c r="C15" s="108"/>
      <c r="D15" s="108"/>
      <c r="E15" s="109"/>
      <c r="F15" s="109"/>
      <c r="G15" s="5" t="s">
        <v>169</v>
      </c>
      <c r="H15" s="16">
        <v>12399</v>
      </c>
      <c r="I15" s="17" t="str">
        <f t="shared" si="0"/>
        <v>Descartado</v>
      </c>
    </row>
    <row r="16" spans="1:9" x14ac:dyDescent="0.25">
      <c r="A16" s="111"/>
      <c r="B16" s="107"/>
      <c r="C16" s="108"/>
      <c r="D16" s="108"/>
      <c r="E16" s="109"/>
      <c r="F16" s="109"/>
      <c r="G16" s="5" t="s">
        <v>174</v>
      </c>
      <c r="H16" s="16">
        <v>12624</v>
      </c>
      <c r="I16" s="17" t="str">
        <f t="shared" si="0"/>
        <v>Descartado</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6</v>
      </c>
      <c r="B3" s="106" t="s">
        <v>36</v>
      </c>
      <c r="C3" s="108" t="s">
        <v>7</v>
      </c>
      <c r="D3" s="108">
        <v>2</v>
      </c>
      <c r="E3" s="109">
        <f>IF(C20&lt;=25%,D20,MIN(E20:F20))</f>
        <v>1062.4100000000001</v>
      </c>
      <c r="F3" s="109">
        <f>MIN(H3:H17)</f>
        <v>749</v>
      </c>
      <c r="G3" s="5" t="s">
        <v>79</v>
      </c>
      <c r="H3" s="16">
        <v>749</v>
      </c>
      <c r="I3" s="17">
        <f>IF(H3="","",(IF($C$20&lt;25%,"n/a",IF(H3&lt;=($D$20+$A$20),H3,"Descartado"))))</f>
        <v>749</v>
      </c>
    </row>
    <row r="4" spans="1:9" x14ac:dyDescent="0.25">
      <c r="A4" s="111"/>
      <c r="B4" s="107"/>
      <c r="C4" s="108"/>
      <c r="D4" s="108"/>
      <c r="E4" s="109"/>
      <c r="F4" s="109"/>
      <c r="G4" s="5" t="s">
        <v>171</v>
      </c>
      <c r="H4" s="16">
        <v>1539.22</v>
      </c>
      <c r="I4" s="17">
        <f t="shared" ref="I4:I17" si="0">IF(H4="","",(IF($C$20&lt;25%,"n/a",IF(H4&lt;=($D$20+$A$20),H4,"Descartado"))))</f>
        <v>1539.22</v>
      </c>
    </row>
    <row r="5" spans="1:9" x14ac:dyDescent="0.25">
      <c r="A5" s="111"/>
      <c r="B5" s="107"/>
      <c r="C5" s="108"/>
      <c r="D5" s="108"/>
      <c r="E5" s="109"/>
      <c r="F5" s="109"/>
      <c r="G5" s="5" t="s">
        <v>169</v>
      </c>
      <c r="H5" s="16">
        <v>899</v>
      </c>
      <c r="I5" s="17">
        <f t="shared" si="0"/>
        <v>899</v>
      </c>
    </row>
    <row r="6" spans="1:9" x14ac:dyDescent="0.25">
      <c r="A6" s="111"/>
      <c r="B6" s="107"/>
      <c r="C6" s="108"/>
      <c r="D6" s="108"/>
      <c r="E6" s="109"/>
      <c r="F6" s="109"/>
      <c r="G6" s="5" t="s">
        <v>172</v>
      </c>
      <c r="H6" s="16">
        <v>2178.21</v>
      </c>
      <c r="I6" s="17" t="str">
        <f t="shared" si="0"/>
        <v>Descartado</v>
      </c>
    </row>
    <row r="7" spans="1:9" x14ac:dyDescent="0.25">
      <c r="A7" s="111"/>
      <c r="B7" s="107"/>
      <c r="C7" s="108"/>
      <c r="D7" s="108"/>
      <c r="E7" s="109"/>
      <c r="F7" s="109"/>
      <c r="G7" s="5"/>
      <c r="H7" s="16"/>
      <c r="I7" s="17" t="str">
        <f t="shared" si="0"/>
        <v/>
      </c>
    </row>
    <row r="8" spans="1:9" x14ac:dyDescent="0.25">
      <c r="A8" s="111"/>
      <c r="B8" s="107"/>
      <c r="C8" s="108"/>
      <c r="D8" s="108"/>
      <c r="E8" s="109"/>
      <c r="F8" s="109"/>
      <c r="G8" s="5"/>
      <c r="H8" s="16"/>
      <c r="I8" s="17" t="str">
        <f t="shared" si="0"/>
        <v/>
      </c>
    </row>
    <row r="9" spans="1:9" x14ac:dyDescent="0.25">
      <c r="A9" s="111"/>
      <c r="B9" s="107"/>
      <c r="C9" s="108"/>
      <c r="D9" s="108"/>
      <c r="E9" s="109"/>
      <c r="F9" s="109"/>
      <c r="G9" s="5"/>
      <c r="H9" s="16"/>
      <c r="I9" s="17" t="str">
        <f t="shared" si="0"/>
        <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7</v>
      </c>
      <c r="B3" s="106" t="s">
        <v>37</v>
      </c>
      <c r="C3" s="108" t="s">
        <v>7</v>
      </c>
      <c r="D3" s="108">
        <v>2</v>
      </c>
      <c r="E3" s="109">
        <f>IF(C20&lt;=25%,D20,MIN(E20:F20))</f>
        <v>232.66</v>
      </c>
      <c r="F3" s="109">
        <f>MIN(H3:H17)</f>
        <v>188</v>
      </c>
      <c r="G3" s="5" t="s">
        <v>61</v>
      </c>
      <c r="H3" s="16">
        <v>188</v>
      </c>
      <c r="I3" s="17">
        <f>IF(H3="","",(IF($C$20&lt;25%,"n/a",IF(H3&lt;=($D$20+$A$20),H3,"Descartado"))))</f>
        <v>188</v>
      </c>
    </row>
    <row r="4" spans="1:9" x14ac:dyDescent="0.25">
      <c r="A4" s="111"/>
      <c r="B4" s="107"/>
      <c r="C4" s="108"/>
      <c r="D4" s="108"/>
      <c r="E4" s="109"/>
      <c r="F4" s="109"/>
      <c r="G4" s="5" t="s">
        <v>88</v>
      </c>
      <c r="H4" s="16">
        <v>360</v>
      </c>
      <c r="I4" s="17" t="str">
        <f t="shared" ref="I4:I17" si="0">IF(H4="","",(IF($C$20&lt;25%,"n/a",IF(H4&lt;=($D$20+$A$20),H4,"Descartado"))))</f>
        <v>Descartado</v>
      </c>
    </row>
    <row r="5" spans="1:9" x14ac:dyDescent="0.25">
      <c r="A5" s="111"/>
      <c r="B5" s="107"/>
      <c r="C5" s="108"/>
      <c r="D5" s="108"/>
      <c r="E5" s="109"/>
      <c r="F5" s="109"/>
      <c r="G5" s="5" t="s">
        <v>89</v>
      </c>
      <c r="H5" s="16">
        <v>280</v>
      </c>
      <c r="I5" s="17">
        <f t="shared" si="0"/>
        <v>280</v>
      </c>
    </row>
    <row r="6" spans="1:9" x14ac:dyDescent="0.25">
      <c r="A6" s="111"/>
      <c r="B6" s="107"/>
      <c r="C6" s="108"/>
      <c r="D6" s="108"/>
      <c r="E6" s="109"/>
      <c r="F6" s="109"/>
      <c r="G6" s="5" t="s">
        <v>172</v>
      </c>
      <c r="H6" s="16">
        <v>229.99</v>
      </c>
      <c r="I6" s="17">
        <f t="shared" si="0"/>
        <v>229.99</v>
      </c>
    </row>
    <row r="7" spans="1:9" x14ac:dyDescent="0.25">
      <c r="A7" s="111"/>
      <c r="B7" s="107"/>
      <c r="C7" s="108"/>
      <c r="D7" s="108"/>
      <c r="E7" s="109"/>
      <c r="F7" s="109"/>
      <c r="G7" s="5"/>
      <c r="H7" s="16"/>
      <c r="I7" s="17" t="str">
        <f t="shared" si="0"/>
        <v/>
      </c>
    </row>
    <row r="8" spans="1:9" x14ac:dyDescent="0.25">
      <c r="A8" s="111"/>
      <c r="B8" s="107"/>
      <c r="C8" s="108"/>
      <c r="D8" s="108"/>
      <c r="E8" s="109"/>
      <c r="F8" s="109"/>
      <c r="G8" s="5"/>
      <c r="H8" s="16"/>
      <c r="I8" s="17" t="str">
        <f t="shared" si="0"/>
        <v/>
      </c>
    </row>
    <row r="9" spans="1:9" x14ac:dyDescent="0.25">
      <c r="A9" s="111"/>
      <c r="B9" s="107"/>
      <c r="C9" s="108"/>
      <c r="D9" s="108"/>
      <c r="E9" s="109"/>
      <c r="F9" s="109"/>
      <c r="G9" s="5"/>
      <c r="H9" s="16"/>
      <c r="I9" s="17" t="str">
        <f t="shared" si="0"/>
        <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8</v>
      </c>
      <c r="B3" s="106" t="s">
        <v>38</v>
      </c>
      <c r="C3" s="108" t="s">
        <v>7</v>
      </c>
      <c r="D3" s="108">
        <v>1</v>
      </c>
      <c r="E3" s="109">
        <f>IF(C20&lt;=25%,D20,MIN(E20:F20))</f>
        <v>1797.62</v>
      </c>
      <c r="F3" s="109">
        <f>MIN(H3:H17)</f>
        <v>514</v>
      </c>
      <c r="G3" s="5" t="s">
        <v>90</v>
      </c>
      <c r="H3" s="16">
        <v>1463.54</v>
      </c>
      <c r="I3" s="17">
        <f>IF(H3="","",(IF($C$20&lt;25%,"n/a",IF(H3&lt;=($D$20+$A$20),H3,"Descartado"))))</f>
        <v>1463.54</v>
      </c>
    </row>
    <row r="4" spans="1:9" x14ac:dyDescent="0.25">
      <c r="A4" s="111"/>
      <c r="B4" s="107"/>
      <c r="C4" s="108"/>
      <c r="D4" s="108"/>
      <c r="E4" s="109"/>
      <c r="F4" s="109"/>
      <c r="G4" s="5" t="s">
        <v>91</v>
      </c>
      <c r="H4" s="16">
        <v>514</v>
      </c>
      <c r="I4" s="17">
        <f t="shared" ref="I4:I17" si="0">IF(H4="","",(IF($C$20&lt;25%,"n/a",IF(H4&lt;=($D$20+$A$20),H4,"Descartado"))))</f>
        <v>514</v>
      </c>
    </row>
    <row r="5" spans="1:9" x14ac:dyDescent="0.25">
      <c r="A5" s="111"/>
      <c r="B5" s="107"/>
      <c r="C5" s="108"/>
      <c r="D5" s="108"/>
      <c r="E5" s="109"/>
      <c r="F5" s="109"/>
      <c r="G5" s="5" t="s">
        <v>92</v>
      </c>
      <c r="H5" s="16">
        <v>2565.66</v>
      </c>
      <c r="I5" s="17">
        <f t="shared" si="0"/>
        <v>2565.66</v>
      </c>
    </row>
    <row r="6" spans="1:9" x14ac:dyDescent="0.25">
      <c r="A6" s="111"/>
      <c r="B6" s="107"/>
      <c r="C6" s="108"/>
      <c r="D6" s="108"/>
      <c r="E6" s="109"/>
      <c r="F6" s="109"/>
      <c r="G6" s="5" t="s">
        <v>93</v>
      </c>
      <c r="H6" s="16">
        <v>790</v>
      </c>
      <c r="I6" s="17">
        <f t="shared" si="0"/>
        <v>790</v>
      </c>
    </row>
    <row r="7" spans="1:9" x14ac:dyDescent="0.25">
      <c r="A7" s="111"/>
      <c r="B7" s="107"/>
      <c r="C7" s="108"/>
      <c r="D7" s="108"/>
      <c r="E7" s="109"/>
      <c r="F7" s="109"/>
      <c r="G7" s="5" t="s">
        <v>94</v>
      </c>
      <c r="H7" s="16">
        <v>4858</v>
      </c>
      <c r="I7" s="17" t="str">
        <f t="shared" si="0"/>
        <v>Descartado</v>
      </c>
    </row>
    <row r="8" spans="1:9" x14ac:dyDescent="0.25">
      <c r="A8" s="111"/>
      <c r="B8" s="107"/>
      <c r="C8" s="108"/>
      <c r="D8" s="108"/>
      <c r="E8" s="109"/>
      <c r="F8" s="109"/>
      <c r="G8" s="5" t="s">
        <v>95</v>
      </c>
      <c r="H8" s="16">
        <v>4932</v>
      </c>
      <c r="I8" s="17" t="str">
        <f t="shared" si="0"/>
        <v>Descartado</v>
      </c>
    </row>
    <row r="9" spans="1:9" x14ac:dyDescent="0.25">
      <c r="A9" s="111"/>
      <c r="B9" s="107"/>
      <c r="C9" s="108"/>
      <c r="D9" s="108"/>
      <c r="E9" s="109"/>
      <c r="F9" s="109"/>
      <c r="G9" s="5" t="s">
        <v>96</v>
      </c>
      <c r="H9" s="16">
        <v>1970</v>
      </c>
      <c r="I9" s="17">
        <f t="shared" si="0"/>
        <v>1970</v>
      </c>
    </row>
    <row r="10" spans="1:9" x14ac:dyDescent="0.25">
      <c r="A10" s="111"/>
      <c r="B10" s="107"/>
      <c r="C10" s="108"/>
      <c r="D10" s="108"/>
      <c r="E10" s="109"/>
      <c r="F10" s="109"/>
      <c r="G10" s="5" t="s">
        <v>97</v>
      </c>
      <c r="H10" s="16">
        <v>3137</v>
      </c>
      <c r="I10" s="17">
        <f t="shared" si="0"/>
        <v>3137</v>
      </c>
    </row>
    <row r="11" spans="1:9" x14ac:dyDescent="0.25">
      <c r="A11" s="111"/>
      <c r="B11" s="107"/>
      <c r="C11" s="108"/>
      <c r="D11" s="108"/>
      <c r="E11" s="109"/>
      <c r="F11" s="109"/>
      <c r="G11" s="5" t="s">
        <v>98</v>
      </c>
      <c r="H11" s="16">
        <v>1990</v>
      </c>
      <c r="I11" s="17">
        <f t="shared" si="0"/>
        <v>1990</v>
      </c>
    </row>
    <row r="12" spans="1:9" x14ac:dyDescent="0.25">
      <c r="A12" s="111"/>
      <c r="B12" s="107"/>
      <c r="C12" s="108"/>
      <c r="D12" s="108"/>
      <c r="E12" s="109"/>
      <c r="F12" s="109"/>
      <c r="G12" s="5" t="s">
        <v>172</v>
      </c>
      <c r="H12" s="16">
        <v>1950.72</v>
      </c>
      <c r="I12" s="17">
        <f t="shared" si="0"/>
        <v>1950.72</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105" t="s">
        <v>8</v>
      </c>
      <c r="B1" s="105"/>
      <c r="C1" s="105"/>
      <c r="D1" s="105"/>
      <c r="E1" s="105"/>
      <c r="F1" s="105"/>
      <c r="G1" s="105"/>
      <c r="H1" s="105"/>
      <c r="I1" s="105"/>
    </row>
    <row r="2" spans="1:9" s="4" customFormat="1" ht="36" x14ac:dyDescent="0.25">
      <c r="A2" s="6" t="s">
        <v>1</v>
      </c>
      <c r="B2" s="6" t="s">
        <v>2</v>
      </c>
      <c r="C2" s="6" t="s">
        <v>3</v>
      </c>
      <c r="D2" s="6" t="s">
        <v>4</v>
      </c>
      <c r="E2" s="6" t="s">
        <v>9</v>
      </c>
      <c r="F2" s="6" t="s">
        <v>10</v>
      </c>
      <c r="G2" s="6" t="s">
        <v>11</v>
      </c>
      <c r="H2" s="6" t="s">
        <v>12</v>
      </c>
      <c r="I2" s="6" t="s">
        <v>13</v>
      </c>
    </row>
    <row r="3" spans="1:9" x14ac:dyDescent="0.25">
      <c r="A3" s="111">
        <v>9</v>
      </c>
      <c r="B3" s="106" t="s">
        <v>39</v>
      </c>
      <c r="C3" s="108" t="s">
        <v>7</v>
      </c>
      <c r="D3" s="108">
        <v>4</v>
      </c>
      <c r="E3" s="109">
        <f>IF(C20&lt;=25%,D20,MIN(E20:F20))</f>
        <v>684.5</v>
      </c>
      <c r="F3" s="109">
        <f>MIN(H3:H17)</f>
        <v>110</v>
      </c>
      <c r="G3" s="5" t="s">
        <v>99</v>
      </c>
      <c r="H3" s="16">
        <v>699</v>
      </c>
      <c r="I3" s="17">
        <f>IF(H3="","",(IF($C$20&lt;25%,"n/a",IF(H3&lt;=($D$20+$A$20),H3,"Descartado"))))</f>
        <v>699</v>
      </c>
    </row>
    <row r="4" spans="1:9" x14ac:dyDescent="0.25">
      <c r="A4" s="111"/>
      <c r="B4" s="107"/>
      <c r="C4" s="108"/>
      <c r="D4" s="108"/>
      <c r="E4" s="109"/>
      <c r="F4" s="109"/>
      <c r="G4" s="5" t="s">
        <v>100</v>
      </c>
      <c r="H4" s="16">
        <v>238.76</v>
      </c>
      <c r="I4" s="17">
        <f t="shared" ref="I4:I17" si="0">IF(H4="","",(IF($C$20&lt;25%,"n/a",IF(H4&lt;=($D$20+$A$20),H4,"Descartado"))))</f>
        <v>238.76</v>
      </c>
    </row>
    <row r="5" spans="1:9" x14ac:dyDescent="0.25">
      <c r="A5" s="111"/>
      <c r="B5" s="107"/>
      <c r="C5" s="108"/>
      <c r="D5" s="108"/>
      <c r="E5" s="109"/>
      <c r="F5" s="109"/>
      <c r="G5" s="5" t="s">
        <v>101</v>
      </c>
      <c r="H5" s="16">
        <v>595</v>
      </c>
      <c r="I5" s="17">
        <f t="shared" si="0"/>
        <v>595</v>
      </c>
    </row>
    <row r="6" spans="1:9" x14ac:dyDescent="0.25">
      <c r="A6" s="111"/>
      <c r="B6" s="107"/>
      <c r="C6" s="108"/>
      <c r="D6" s="108"/>
      <c r="E6" s="109"/>
      <c r="F6" s="109"/>
      <c r="G6" s="5" t="s">
        <v>102</v>
      </c>
      <c r="H6" s="16">
        <v>110</v>
      </c>
      <c r="I6" s="17">
        <f t="shared" si="0"/>
        <v>110</v>
      </c>
    </row>
    <row r="7" spans="1:9" x14ac:dyDescent="0.25">
      <c r="A7" s="111"/>
      <c r="B7" s="107"/>
      <c r="C7" s="108"/>
      <c r="D7" s="108"/>
      <c r="E7" s="109"/>
      <c r="F7" s="109"/>
      <c r="G7" s="5" t="s">
        <v>103</v>
      </c>
      <c r="H7" s="16">
        <v>1064.26</v>
      </c>
      <c r="I7" s="17">
        <f t="shared" si="0"/>
        <v>1064.26</v>
      </c>
    </row>
    <row r="8" spans="1:9" x14ac:dyDescent="0.25">
      <c r="A8" s="111"/>
      <c r="B8" s="107"/>
      <c r="C8" s="108"/>
      <c r="D8" s="108"/>
      <c r="E8" s="109"/>
      <c r="F8" s="109"/>
      <c r="G8" s="5" t="s">
        <v>175</v>
      </c>
      <c r="H8" s="16">
        <v>1400</v>
      </c>
      <c r="I8" s="17">
        <f t="shared" si="0"/>
        <v>1400</v>
      </c>
    </row>
    <row r="9" spans="1:9" x14ac:dyDescent="0.25">
      <c r="A9" s="111"/>
      <c r="B9" s="107"/>
      <c r="C9" s="108"/>
      <c r="D9" s="108"/>
      <c r="E9" s="109"/>
      <c r="F9" s="109"/>
      <c r="G9" s="5" t="s">
        <v>176</v>
      </c>
      <c r="H9" s="16">
        <v>5751</v>
      </c>
      <c r="I9" s="17" t="str">
        <f t="shared" si="0"/>
        <v>Descartado</v>
      </c>
    </row>
    <row r="10" spans="1:9" x14ac:dyDescent="0.25">
      <c r="A10" s="111"/>
      <c r="B10" s="107"/>
      <c r="C10" s="108"/>
      <c r="D10" s="108"/>
      <c r="E10" s="109"/>
      <c r="F10" s="109"/>
      <c r="G10" s="5"/>
      <c r="H10" s="16"/>
      <c r="I10" s="17" t="str">
        <f t="shared" si="0"/>
        <v/>
      </c>
    </row>
    <row r="11" spans="1:9" x14ac:dyDescent="0.25">
      <c r="A11" s="111"/>
      <c r="B11" s="107"/>
      <c r="C11" s="108"/>
      <c r="D11" s="108"/>
      <c r="E11" s="109"/>
      <c r="F11" s="109"/>
      <c r="G11" s="5"/>
      <c r="H11" s="16"/>
      <c r="I11" s="17" t="str">
        <f t="shared" si="0"/>
        <v/>
      </c>
    </row>
    <row r="12" spans="1:9" x14ac:dyDescent="0.25">
      <c r="A12" s="111"/>
      <c r="B12" s="107"/>
      <c r="C12" s="108"/>
      <c r="D12" s="108"/>
      <c r="E12" s="109"/>
      <c r="F12" s="109"/>
      <c r="G12" s="5"/>
      <c r="H12" s="16"/>
      <c r="I12" s="17" t="str">
        <f t="shared" si="0"/>
        <v/>
      </c>
    </row>
    <row r="13" spans="1:9" x14ac:dyDescent="0.25">
      <c r="A13" s="111"/>
      <c r="B13" s="107"/>
      <c r="C13" s="108"/>
      <c r="D13" s="108"/>
      <c r="E13" s="109"/>
      <c r="F13" s="109"/>
      <c r="G13" s="5"/>
      <c r="H13" s="16"/>
      <c r="I13" s="17" t="str">
        <f t="shared" si="0"/>
        <v/>
      </c>
    </row>
    <row r="14" spans="1:9" x14ac:dyDescent="0.25">
      <c r="A14" s="111"/>
      <c r="B14" s="107"/>
      <c r="C14" s="108"/>
      <c r="D14" s="108"/>
      <c r="E14" s="109"/>
      <c r="F14" s="109"/>
      <c r="G14" s="5"/>
      <c r="H14" s="16"/>
      <c r="I14" s="17" t="str">
        <f t="shared" si="0"/>
        <v/>
      </c>
    </row>
    <row r="15" spans="1:9" x14ac:dyDescent="0.25">
      <c r="A15" s="111"/>
      <c r="B15" s="107"/>
      <c r="C15" s="108"/>
      <c r="D15" s="108"/>
      <c r="E15" s="109"/>
      <c r="F15" s="109"/>
      <c r="G15" s="5"/>
      <c r="H15" s="16"/>
      <c r="I15" s="17" t="str">
        <f t="shared" si="0"/>
        <v/>
      </c>
    </row>
    <row r="16" spans="1:9" x14ac:dyDescent="0.25">
      <c r="A16" s="111"/>
      <c r="B16" s="107"/>
      <c r="C16" s="108"/>
      <c r="D16" s="108"/>
      <c r="E16" s="109"/>
      <c r="F16" s="109"/>
      <c r="G16" s="5"/>
      <c r="H16" s="16"/>
      <c r="I16" s="17" t="str">
        <f t="shared" si="0"/>
        <v/>
      </c>
    </row>
    <row r="17" spans="1:9" x14ac:dyDescent="0.25">
      <c r="A17" s="111"/>
      <c r="B17" s="107"/>
      <c r="C17" s="108"/>
      <c r="D17" s="108"/>
      <c r="E17" s="109"/>
      <c r="F17" s="109"/>
      <c r="G17" s="5"/>
      <c r="H17" s="16"/>
      <c r="I17" s="17" t="str">
        <f t="shared" si="0"/>
        <v/>
      </c>
    </row>
    <row r="19" spans="1:9" s="4" customFormat="1" ht="24" x14ac:dyDescent="0.25">
      <c r="A19" s="6" t="s">
        <v>14</v>
      </c>
      <c r="B19" s="6" t="s">
        <v>15</v>
      </c>
      <c r="C19" s="6" t="s">
        <v>25</v>
      </c>
      <c r="D19" s="6" t="s">
        <v>16</v>
      </c>
      <c r="E19" s="6" t="s">
        <v>17</v>
      </c>
      <c r="F19" s="6" t="s">
        <v>18</v>
      </c>
      <c r="G19" s="104" t="s">
        <v>19</v>
      </c>
      <c r="H19" s="104"/>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30</vt:i4>
      </vt:variant>
      <vt:variant>
        <vt:lpstr>Intervalos nomeados</vt:lpstr>
      </vt:variant>
      <vt:variant>
        <vt:i4>2</vt:i4>
      </vt:variant>
    </vt:vector>
  </HeadingPairs>
  <TitlesOfParts>
    <vt:vector size="32"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Demonstração taxa TA</vt:lpstr>
      <vt:lpstr>Cálculo TA e Preço Estimado</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Mel Martins Ferreira Cruz</cp:lastModifiedBy>
  <cp:lastPrinted>2024-07-09T18:01:47Z</cp:lastPrinted>
  <dcterms:created xsi:type="dcterms:W3CDTF">2023-11-07T17:10:34Z</dcterms:created>
  <dcterms:modified xsi:type="dcterms:W3CDTF">2024-07-09T18:04:20Z</dcterms:modified>
</cp:coreProperties>
</file>