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5"/>
  </bookViews>
  <sheets>
    <sheet name="motorista" sheetId="1" r:id="rId1"/>
    <sheet name="supervisor" sheetId="2" r:id="rId2"/>
    <sheet name="motoristatemp" sheetId="3" r:id="rId3"/>
    <sheet name="horaextra" sheetId="4" r:id="rId4"/>
    <sheet name="diarias" sheetId="5" r:id="rId5"/>
    <sheet name="total" sheetId="6" r:id="rId6"/>
  </sheets>
  <calcPr calcId="145621"/>
</workbook>
</file>

<file path=xl/calcChain.xml><?xml version="1.0" encoding="utf-8"?>
<calcChain xmlns="http://schemas.openxmlformats.org/spreadsheetml/2006/main">
  <c r="C42" i="6" l="1"/>
  <c r="E32" i="6"/>
  <c r="B32" i="6"/>
  <c r="B39" i="6"/>
  <c r="B38" i="6"/>
  <c r="B37" i="6"/>
  <c r="B36" i="6"/>
  <c r="B31" i="6"/>
  <c r="B30" i="6"/>
  <c r="F23" i="6"/>
  <c r="E39" i="6" s="1"/>
  <c r="B23" i="6"/>
  <c r="F22" i="6"/>
  <c r="F24" i="6" s="1"/>
  <c r="B22" i="6"/>
  <c r="F17" i="6"/>
  <c r="E31" i="6" s="1"/>
  <c r="B17" i="6"/>
  <c r="F16" i="6"/>
  <c r="E38" i="6" s="1"/>
  <c r="B16" i="6"/>
  <c r="D150" i="3"/>
  <c r="C11" i="6" s="1"/>
  <c r="D150" i="2"/>
  <c r="C6" i="6" s="1"/>
  <c r="D11" i="6"/>
  <c r="D12" i="6" s="1"/>
  <c r="B11" i="6"/>
  <c r="D6" i="6"/>
  <c r="B6" i="6"/>
  <c r="D147" i="2"/>
  <c r="D146" i="2"/>
  <c r="D145" i="2"/>
  <c r="D144" i="2"/>
  <c r="D148" i="2" s="1"/>
  <c r="D143" i="2"/>
  <c r="C130" i="2"/>
  <c r="C137" i="2" s="1"/>
  <c r="D130" i="1"/>
  <c r="D129" i="1"/>
  <c r="D128" i="1"/>
  <c r="D5" i="6"/>
  <c r="B5" i="6"/>
  <c r="E11" i="5"/>
  <c r="D18" i="5"/>
  <c r="B18" i="5"/>
  <c r="C17" i="5"/>
  <c r="C18" i="5" s="1"/>
  <c r="E16" i="5"/>
  <c r="E17" i="5" s="1"/>
  <c r="C16" i="5"/>
  <c r="E15" i="5"/>
  <c r="D8" i="5"/>
  <c r="E7" i="5"/>
  <c r="C7" i="5"/>
  <c r="E6" i="5"/>
  <c r="E5" i="5"/>
  <c r="B8" i="5"/>
  <c r="C6" i="5"/>
  <c r="A37" i="4"/>
  <c r="A22" i="4"/>
  <c r="B18" i="4"/>
  <c r="B15" i="4"/>
  <c r="E14" i="4"/>
  <c r="C14" i="4"/>
  <c r="E17" i="4"/>
  <c r="C17" i="4"/>
  <c r="D7" i="4"/>
  <c r="D6" i="4"/>
  <c r="E5" i="4"/>
  <c r="D4" i="4"/>
  <c r="D22" i="4" s="1"/>
  <c r="B4" i="4"/>
  <c r="B22" i="4" s="1"/>
  <c r="B9" i="4"/>
  <c r="D50" i="3"/>
  <c r="D50" i="2"/>
  <c r="D50" i="1"/>
  <c r="B7" i="4"/>
  <c r="B6" i="4"/>
  <c r="D122" i="2"/>
  <c r="D122" i="1"/>
  <c r="D122" i="3"/>
  <c r="E6" i="6" l="1"/>
  <c r="F6" i="6" s="1"/>
  <c r="F18" i="6"/>
  <c r="D7" i="6"/>
  <c r="E11" i="6"/>
  <c r="D129" i="2"/>
  <c r="D130" i="2" s="1"/>
  <c r="D128" i="2"/>
  <c r="D15" i="4"/>
  <c r="D9" i="4"/>
  <c r="D18" i="4"/>
  <c r="E18" i="5"/>
  <c r="E19" i="5" s="1"/>
  <c r="E20" i="5" s="1"/>
  <c r="C19" i="5"/>
  <c r="C20" i="5" s="1"/>
  <c r="E8" i="5"/>
  <c r="E9" i="5" s="1"/>
  <c r="E10" i="5" s="1"/>
  <c r="C8" i="5"/>
  <c r="C9" i="5" s="1"/>
  <c r="C10" i="5" s="1"/>
  <c r="B37" i="4"/>
  <c r="E18" i="4"/>
  <c r="E19" i="4" s="1"/>
  <c r="D37" i="4"/>
  <c r="C15" i="4"/>
  <c r="C16" i="4" s="1"/>
  <c r="E15" i="4"/>
  <c r="E16" i="4" s="1"/>
  <c r="C18" i="4"/>
  <c r="C19" i="4" s="1"/>
  <c r="E6" i="4"/>
  <c r="E7" i="4" s="1"/>
  <c r="E8" i="4" s="1"/>
  <c r="E9" i="4" s="1"/>
  <c r="C81" i="3"/>
  <c r="C79" i="3"/>
  <c r="C78" i="3"/>
  <c r="C76" i="3"/>
  <c r="C95" i="3"/>
  <c r="C94" i="3"/>
  <c r="C93" i="3"/>
  <c r="C91" i="3"/>
  <c r="D147" i="3"/>
  <c r="C137" i="3"/>
  <c r="C130" i="3"/>
  <c r="C92" i="3"/>
  <c r="D57" i="3"/>
  <c r="C50" i="3"/>
  <c r="C80" i="3" s="1"/>
  <c r="C35" i="3"/>
  <c r="C36" i="3" s="1"/>
  <c r="C34" i="3"/>
  <c r="D19" i="3"/>
  <c r="D26" i="3" s="1"/>
  <c r="C95" i="2"/>
  <c r="C94" i="2"/>
  <c r="C93" i="2"/>
  <c r="C92" i="2"/>
  <c r="C91" i="2"/>
  <c r="C81" i="2"/>
  <c r="C79" i="2"/>
  <c r="C78" i="2"/>
  <c r="C76" i="2"/>
  <c r="D57" i="2"/>
  <c r="C50" i="2"/>
  <c r="C80" i="2" s="1"/>
  <c r="C35" i="2"/>
  <c r="C36" i="2" s="1"/>
  <c r="C34" i="2"/>
  <c r="D26" i="2"/>
  <c r="F11" i="6" l="1"/>
  <c r="F12" i="6" s="1"/>
  <c r="E37" i="6" s="1"/>
  <c r="E12" i="6"/>
  <c r="D137" i="2"/>
  <c r="D149" i="2" s="1"/>
  <c r="E21" i="5"/>
  <c r="C41" i="4"/>
  <c r="C30" i="4"/>
  <c r="C26" i="4"/>
  <c r="C45" i="4"/>
  <c r="E41" i="4"/>
  <c r="E30" i="4"/>
  <c r="E45" i="4"/>
  <c r="E26" i="4"/>
  <c r="C42" i="4"/>
  <c r="C31" i="4"/>
  <c r="C27" i="4"/>
  <c r="C46" i="4"/>
  <c r="E31" i="4"/>
  <c r="E46" i="4"/>
  <c r="E27" i="4"/>
  <c r="E42" i="4"/>
  <c r="E10" i="4"/>
  <c r="E11" i="4" s="1"/>
  <c r="D79" i="3"/>
  <c r="D80" i="3" s="1"/>
  <c r="D81" i="3"/>
  <c r="D34" i="3"/>
  <c r="D78" i="3"/>
  <c r="D76" i="3"/>
  <c r="D143" i="3"/>
  <c r="D35" i="3"/>
  <c r="D56" i="3"/>
  <c r="D61" i="3" s="1"/>
  <c r="D69" i="3" s="1"/>
  <c r="D81" i="2"/>
  <c r="D78" i="2"/>
  <c r="D35" i="2"/>
  <c r="D34" i="2"/>
  <c r="D36" i="2" s="1"/>
  <c r="D67" i="2" s="1"/>
  <c r="D76" i="2"/>
  <c r="D79" i="2"/>
  <c r="D80" i="2" s="1"/>
  <c r="D56" i="2"/>
  <c r="D61" i="2" s="1"/>
  <c r="D69" i="2" s="1"/>
  <c r="D61" i="1"/>
  <c r="D57" i="1"/>
  <c r="D56" i="1"/>
  <c r="D134" i="2" l="1"/>
  <c r="D133" i="2"/>
  <c r="D132" i="2"/>
  <c r="D136" i="2"/>
  <c r="D135" i="2"/>
  <c r="D131" i="2"/>
  <c r="E13" i="4"/>
  <c r="E12" i="4"/>
  <c r="D77" i="3"/>
  <c r="D82" i="3" s="1"/>
  <c r="D145" i="3" s="1"/>
  <c r="D36" i="3"/>
  <c r="D44" i="2"/>
  <c r="D46" i="2"/>
  <c r="D42" i="2"/>
  <c r="D45" i="2"/>
  <c r="D48" i="2"/>
  <c r="D77" i="2"/>
  <c r="D82" i="2" s="1"/>
  <c r="D47" i="2"/>
  <c r="D49" i="2"/>
  <c r="D43" i="2"/>
  <c r="C81" i="1"/>
  <c r="C78" i="1"/>
  <c r="E44" i="4" l="1"/>
  <c r="E47" i="4" s="1"/>
  <c r="E29" i="4"/>
  <c r="E32" i="4" s="1"/>
  <c r="E23" i="4"/>
  <c r="E24" i="4" s="1"/>
  <c r="E25" i="4"/>
  <c r="E28" i="4" s="1"/>
  <c r="E40" i="4"/>
  <c r="E43" i="4" s="1"/>
  <c r="E38" i="4"/>
  <c r="E39" i="4" s="1"/>
  <c r="D67" i="3"/>
  <c r="D49" i="3"/>
  <c r="D47" i="3"/>
  <c r="D46" i="3"/>
  <c r="D48" i="3"/>
  <c r="D44" i="3"/>
  <c r="D42" i="3"/>
  <c r="D43" i="3"/>
  <c r="D45" i="3"/>
  <c r="D68" i="2"/>
  <c r="D70" i="2" s="1"/>
  <c r="D95" i="2"/>
  <c r="C130" i="1"/>
  <c r="C137" i="1" s="1"/>
  <c r="C95" i="1"/>
  <c r="C94" i="1"/>
  <c r="C93" i="1"/>
  <c r="C92" i="1"/>
  <c r="C91" i="1"/>
  <c r="C79" i="1"/>
  <c r="C76" i="1"/>
  <c r="C35" i="1"/>
  <c r="C34" i="1"/>
  <c r="C36" i="1" s="1"/>
  <c r="E33" i="4" l="1"/>
  <c r="E48" i="4"/>
  <c r="D68" i="3"/>
  <c r="D70" i="3"/>
  <c r="D91" i="2"/>
  <c r="D96" i="2"/>
  <c r="D94" i="2"/>
  <c r="D103" i="2"/>
  <c r="D104" i="2" s="1"/>
  <c r="D111" i="2" s="1"/>
  <c r="D93" i="2"/>
  <c r="D92" i="2"/>
  <c r="D147" i="1"/>
  <c r="D69" i="1"/>
  <c r="C50" i="1"/>
  <c r="C80" i="1" s="1"/>
  <c r="D26" i="1"/>
  <c r="D97" i="2" l="1"/>
  <c r="D110" i="2" s="1"/>
  <c r="D112" i="2" s="1"/>
  <c r="C5" i="4"/>
  <c r="D144" i="3"/>
  <c r="D94" i="3"/>
  <c r="D91" i="3"/>
  <c r="D93" i="3"/>
  <c r="D95" i="3"/>
  <c r="D96" i="3"/>
  <c r="D92" i="3"/>
  <c r="D103" i="3"/>
  <c r="D104" i="3" s="1"/>
  <c r="D111" i="3" s="1"/>
  <c r="D76" i="1"/>
  <c r="D77" i="1" s="1"/>
  <c r="D79" i="1"/>
  <c r="D80" i="1" s="1"/>
  <c r="D78" i="1"/>
  <c r="D143" i="1"/>
  <c r="D35" i="1"/>
  <c r="D81" i="1"/>
  <c r="D34" i="1"/>
  <c r="C6" i="4" l="1"/>
  <c r="C7" i="4" s="1"/>
  <c r="D97" i="3"/>
  <c r="D110" i="3" s="1"/>
  <c r="D112" i="3" s="1"/>
  <c r="D146" i="3" s="1"/>
  <c r="D148" i="3" s="1"/>
  <c r="D36" i="1"/>
  <c r="D82" i="1"/>
  <c r="C8" i="4" l="1"/>
  <c r="C9" i="4" s="1"/>
  <c r="C10" i="4" s="1"/>
  <c r="C11" i="4" s="1"/>
  <c r="D128" i="3"/>
  <c r="D67" i="1"/>
  <c r="D44" i="1"/>
  <c r="D42" i="1"/>
  <c r="D48" i="1"/>
  <c r="D46" i="1"/>
  <c r="D49" i="1"/>
  <c r="D45" i="1"/>
  <c r="D47" i="1"/>
  <c r="D43" i="1"/>
  <c r="D145" i="1"/>
  <c r="C13" i="4" l="1"/>
  <c r="C12" i="4"/>
  <c r="D129" i="3"/>
  <c r="D130" i="3" s="1"/>
  <c r="D68" i="1"/>
  <c r="D70" i="1" s="1"/>
  <c r="C23" i="4" l="1"/>
  <c r="C24" i="4" s="1"/>
  <c r="C25" i="4"/>
  <c r="C28" i="4" s="1"/>
  <c r="C40" i="4"/>
  <c r="C43" i="4" s="1"/>
  <c r="C38" i="4"/>
  <c r="C39" i="4" s="1"/>
  <c r="C44" i="4"/>
  <c r="C47" i="4" s="1"/>
  <c r="C29" i="4"/>
  <c r="C32" i="4" s="1"/>
  <c r="D144" i="1"/>
  <c r="D103" i="1"/>
  <c r="D137" i="3"/>
  <c r="D149" i="3" s="1"/>
  <c r="D95" i="1"/>
  <c r="D104" i="1"/>
  <c r="D111" i="1" s="1"/>
  <c r="D91" i="1"/>
  <c r="D92" i="1"/>
  <c r="D96" i="1"/>
  <c r="D93" i="1"/>
  <c r="D94" i="1"/>
  <c r="C48" i="4" l="1"/>
  <c r="E49" i="4" s="1"/>
  <c r="C33" i="4"/>
  <c r="E34" i="4" s="1"/>
  <c r="D131" i="3"/>
  <c r="D132" i="3"/>
  <c r="D136" i="3"/>
  <c r="D135" i="3"/>
  <c r="D134" i="3"/>
  <c r="D133" i="3"/>
  <c r="D97" i="1"/>
  <c r="D110" i="1" s="1"/>
  <c r="D112" i="1" s="1"/>
  <c r="D146" i="1" s="1"/>
  <c r="D148" i="1" s="1"/>
  <c r="D137" i="1" l="1"/>
  <c r="D149" i="1" s="1"/>
  <c r="D150" i="1" l="1"/>
  <c r="C5" i="6" s="1"/>
  <c r="E5" i="6" s="1"/>
  <c r="F5" i="6" l="1"/>
  <c r="F7" i="6" s="1"/>
  <c r="E7" i="6"/>
  <c r="D134" i="1"/>
  <c r="D131" i="1"/>
  <c r="D133" i="1"/>
  <c r="D132" i="1"/>
  <c r="D135" i="1"/>
  <c r="D136" i="1"/>
  <c r="E30" i="6" l="1"/>
  <c r="E33" i="6" s="1"/>
  <c r="E36" i="6"/>
  <c r="E40" i="6" s="1"/>
</calcChain>
</file>

<file path=xl/sharedStrings.xml><?xml version="1.0" encoding="utf-8"?>
<sst xmlns="http://schemas.openxmlformats.org/spreadsheetml/2006/main" count="649" uniqueCount="161">
  <si>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</si>
  <si>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</si>
  <si>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</si>
  <si>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</si>
  <si>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</si>
  <si>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</si>
  <si>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</si>
  <si>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</si>
  <si>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</si>
  <si>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</si>
  <si>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</si>
  <si>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</si>
  <si>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</si>
  <si>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</si>
  <si>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</si>
  <si>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</si>
  <si>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</si>
  <si>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</si>
  <si>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</si>
  <si>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</si>
  <si>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</si>
  <si>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</si>
  <si>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</si>
  <si>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</si>
  <si>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</si>
  <si>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</si>
  <si>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</si>
  <si>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</si>
  <si>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</si>
  <si>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</si>
  <si>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</si>
  <si>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</si>
  <si>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</si>
  <si>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</si>
  <si>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</si>
  <si>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</si>
  <si>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</si>
  <si>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</si>
  <si>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</si>
  <si>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</si>
  <si>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</si>
  <si>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</si>
  <si>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</si>
  <si>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</si>
  <si>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</si>
  <si>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</si>
  <si>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</si>
  <si>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</si>
  <si>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</si>
  <si>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</si>
  <si>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</si>
  <si>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</si>
  <si>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</si>
  <si>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</si>
  <si>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</si>
  <si>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</si>
  <si>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</si>
  <si>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</si>
  <si>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</si>
  <si>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</si>
  <si>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</si>
  <si>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</si>
  <si>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</si>
  <si>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</si>
  <si>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</si>
  <si>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</si>
  <si>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</si>
  <si>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</si>
  <si>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</si>
  <si>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</si>
  <si>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</si>
  <si>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</si>
  <si>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</si>
  <si>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</si>
  <si>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</si>
  <si>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</si>
  <si>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</si>
  <si>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</si>
  <si>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</si>
  <si>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</si>
  <si>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</si>
  <si>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</si>
  <si>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</si>
  <si>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</si>
  <si>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</si>
  <si>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</si>
  <si>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</si>
  <si>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</si>
  <si>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</si>
  <si>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</si>
  <si>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</si>
  <si>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</si>
  <si>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</si>
  <si>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</si>
  <si>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</si>
  <si>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</si>
  <si>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</si>
  <si>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</si>
  <si>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</t>
  </si>
  <si>
    <t>7825-10</t>
  </si>
  <si>
    <t>Assistência Médica</t>
  </si>
  <si>
    <t>Assistência Odontológica</t>
  </si>
  <si>
    <t>Seguro de Vida</t>
  </si>
  <si>
    <t>Multa do FGTS sobre o Aviso Prévio Indenizado</t>
  </si>
  <si>
    <t>Multa do FGTS sobre o Aviso Prévio Trabalhado</t>
  </si>
  <si>
    <t>Motorista de caminhão a partir de 25m3</t>
  </si>
  <si>
    <t>Supervisor de Transporte/Frota</t>
  </si>
  <si>
    <t>5101-05</t>
  </si>
  <si>
    <t>Motorista de caminhão a partir de 25m3 - julho a novembro em ano de eleições</t>
  </si>
  <si>
    <t>Serviço Extraordinário</t>
  </si>
  <si>
    <t>Valores Referenciais</t>
  </si>
  <si>
    <t>13º Salário, Férias e Adicional de Férias</t>
  </si>
  <si>
    <t>Subtotal</t>
  </si>
  <si>
    <t>Remuneração mensal</t>
  </si>
  <si>
    <t>Subtotal1</t>
  </si>
  <si>
    <t>Subtotal2</t>
  </si>
  <si>
    <t>hora normal</t>
  </si>
  <si>
    <t>hora extra segunda a sábado</t>
  </si>
  <si>
    <t>hora extra domingos e feriados</t>
  </si>
  <si>
    <t>Ano Eleitoral</t>
  </si>
  <si>
    <t>segunda a sexta</t>
  </si>
  <si>
    <t>sábados</t>
  </si>
  <si>
    <t>vale transporte</t>
  </si>
  <si>
    <t>vale alimentação</t>
  </si>
  <si>
    <t>alimentação</t>
  </si>
  <si>
    <t>transporte (2 conduções)</t>
  </si>
  <si>
    <t>vale transporte - hora extra</t>
  </si>
  <si>
    <t>vale alimentação - hora extra</t>
  </si>
  <si>
    <t xml:space="preserve">Ano Eleitoral </t>
  </si>
  <si>
    <t>Categoria Profissional</t>
  </si>
  <si>
    <t>total c/ horas extras - seg-sex</t>
  </si>
  <si>
    <t>total c/ horas extras - sábados</t>
  </si>
  <si>
    <t>total c/ horas extras - dom/fer</t>
  </si>
  <si>
    <t>domingos e feriados</t>
  </si>
  <si>
    <t>Ano Não Eleitoral</t>
  </si>
  <si>
    <t xml:space="preserve">Total Ano Eleitoral </t>
  </si>
  <si>
    <t>total por categoria profissional</t>
  </si>
  <si>
    <t>Diárias</t>
  </si>
  <si>
    <t>Sem pernoite</t>
  </si>
  <si>
    <t>valor repasse</t>
  </si>
  <si>
    <t>desconto alimentação</t>
  </si>
  <si>
    <t>custo por diária</t>
  </si>
  <si>
    <t>Valor Total das Diárias</t>
  </si>
  <si>
    <t>desconto transporte</t>
  </si>
  <si>
    <t>Com pernoite</t>
  </si>
  <si>
    <t>Valor Total por tipo de Diária</t>
  </si>
  <si>
    <t>Quadro Resumo - valor total estimado</t>
  </si>
  <si>
    <t>item</t>
  </si>
  <si>
    <t>especificação</t>
  </si>
  <si>
    <t>valor mensal</t>
  </si>
  <si>
    <t>quantidade</t>
  </si>
  <si>
    <t>valor mensal unitário</t>
  </si>
  <si>
    <t>valor anual</t>
  </si>
  <si>
    <t>total</t>
  </si>
  <si>
    <t>Postos Regulares - tópico 1.3.1</t>
  </si>
  <si>
    <t>Acréscimo Temporário - tópico 1.3.2.1</t>
  </si>
  <si>
    <t>Serviço Extraordinário - tópico 1.3.2.2</t>
  </si>
  <si>
    <t>Concessão de Diárias - tópico 1.3.3</t>
  </si>
  <si>
    <t>valor total
(5 meses)</t>
  </si>
  <si>
    <t>Resultado da Estimativa</t>
  </si>
  <si>
    <t>Total estimado da contratação - 24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</si>
</sst>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43" fontId="4" fillId="0" borderId="0" xfId="10" applyFont="1"/>
    <xf numFmtId="0" fontId="4" fillId="0" borderId="2" xfId="0" applyFont="1" applyBorder="1"/>
    <xf numFmtId="0" fontId="4" fillId="0" borderId="4" xfId="0" applyFont="1" applyBorder="1"/>
    <xf numFmtId="43" fontId="4" fillId="0" borderId="3" xfId="0" applyNumberFormat="1" applyFont="1" applyBorder="1"/>
    <xf numFmtId="10" fontId="4" fillId="0" borderId="4" xfId="0" applyNumberFormat="1" applyFont="1" applyBorder="1"/>
    <xf numFmtId="9" fontId="4" fillId="0" borderId="4" xfId="0" applyNumberFormat="1" applyFont="1" applyBorder="1"/>
    <xf numFmtId="43" fontId="4" fillId="0" borderId="3" xfId="10" applyFont="1" applyBorder="1"/>
    <xf numFmtId="10" fontId="4" fillId="0" borderId="2" xfId="0" applyNumberFormat="1" applyFont="1" applyBorder="1"/>
    <xf numFmtId="9" fontId="4" fillId="0" borderId="2" xfId="0" applyNumberFormat="1" applyFont="1" applyBorder="1"/>
    <xf numFmtId="0" fontId="5" fillId="0" borderId="0" xfId="0" applyFont="1"/>
    <xf numFmtId="43" fontId="5" fillId="0" borderId="3" xfId="10" applyFont="1" applyBorder="1"/>
    <xf numFmtId="0" fontId="5" fillId="0" borderId="2" xfId="0" applyFont="1" applyBorder="1"/>
    <xf numFmtId="43" fontId="5" fillId="0" borderId="3" xfId="0" applyNumberFormat="1" applyFont="1" applyBorder="1"/>
    <xf numFmtId="0" fontId="5" fillId="0" borderId="4" xfId="0" applyFont="1" applyBorder="1"/>
    <xf numFmtId="0" fontId="4" fillId="7" borderId="2" xfId="0" applyFont="1" applyFill="1" applyBorder="1"/>
    <xf numFmtId="0" fontId="5" fillId="6" borderId="2" xfId="0" applyFont="1" applyFill="1" applyBorder="1"/>
    <xf numFmtId="9" fontId="4" fillId="6" borderId="2" xfId="0" applyNumberFormat="1" applyFont="1" applyFill="1" applyBorder="1"/>
    <xf numFmtId="43" fontId="5" fillId="6" borderId="3" xfId="10" applyFont="1" applyFill="1" applyBorder="1"/>
    <xf numFmtId="9" fontId="4" fillId="6" borderId="4" xfId="0" applyNumberFormat="1" applyFont="1" applyFill="1" applyBorder="1"/>
    <xf numFmtId="43" fontId="5" fillId="6" borderId="3" xfId="0" applyNumberFormat="1" applyFont="1" applyFill="1" applyBorder="1"/>
    <xf numFmtId="0" fontId="5" fillId="6" borderId="4" xfId="0" applyFont="1" applyFill="1" applyBorder="1"/>
    <xf numFmtId="0" fontId="7" fillId="0" borderId="2" xfId="0" applyFont="1" applyBorder="1"/>
    <xf numFmtId="0" fontId="8" fillId="0" borderId="0" xfId="0" applyFont="1"/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0" applyFont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43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3" fontId="4" fillId="0" borderId="1" xfId="0" applyNumberFormat="1" applyFont="1" applyBorder="1" applyAlignment="1">
      <alignment vertical="top" wrapText="1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43" fontId="5" fillId="0" borderId="1" xfId="0" applyNumberFormat="1" applyFont="1" applyBorder="1" applyAlignment="1">
      <alignment vertical="top"/>
    </xf>
    <xf numFmtId="43" fontId="5" fillId="0" borderId="5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8" fillId="0" borderId="0" xfId="0" applyFont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1" xfId="0" applyFont="1" applyFill="1" applyBorder="1" applyAlignment="1">
      <alignment vertical="top"/>
    </xf>
    <xf numFmtId="43" fontId="8" fillId="6" borderId="1" xfId="10" applyFont="1" applyFill="1" applyBorder="1" applyAlignment="1">
      <alignment vertical="top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zoomScaleNormal="100" workbookViewId="0">
      <selection activeCell="K34" sqref="K3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2" t="s">
        <v>0</v>
      </c>
      <c r="B1" s="52"/>
      <c r="C1" s="52"/>
      <c r="D1" s="52"/>
    </row>
    <row r="2" spans="1:4" ht="15.75" x14ac:dyDescent="0.25">
      <c r="A2" s="26"/>
      <c r="B2" s="26"/>
      <c r="C2" s="26"/>
      <c r="D2" s="26"/>
    </row>
    <row r="3" spans="1:4" x14ac:dyDescent="0.2">
      <c r="A3" s="42" t="s">
        <v>88</v>
      </c>
      <c r="B3" s="42"/>
      <c r="C3" s="42"/>
      <c r="D3" s="42"/>
    </row>
    <row r="4" spans="1:4" x14ac:dyDescent="0.2">
      <c r="A4" s="2"/>
      <c r="B4" s="2"/>
      <c r="C4" s="2"/>
      <c r="D4" s="2"/>
    </row>
    <row r="5" spans="1:4" ht="38.25" x14ac:dyDescent="0.2">
      <c r="A5" s="36" t="s">
        <v>89</v>
      </c>
      <c r="B5" s="36"/>
      <c r="C5" s="7" t="s">
        <v>90</v>
      </c>
      <c r="D5" s="27" t="s">
        <v>91</v>
      </c>
    </row>
    <row r="6" spans="1:4" s="35" customFormat="1" x14ac:dyDescent="0.25">
      <c r="A6" s="37" t="s">
        <v>105</v>
      </c>
      <c r="B6" s="37"/>
      <c r="C6" s="34" t="s">
        <v>98</v>
      </c>
      <c r="D6" s="34">
        <v>27</v>
      </c>
    </row>
    <row r="8" spans="1:4" x14ac:dyDescent="0.2">
      <c r="A8" s="42" t="s">
        <v>72</v>
      </c>
      <c r="B8" s="42"/>
      <c r="C8" s="42"/>
      <c r="D8" s="4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38" t="s">
        <v>105</v>
      </c>
      <c r="D10" s="39"/>
    </row>
    <row r="11" spans="1:4" x14ac:dyDescent="0.2">
      <c r="A11" s="5">
        <v>2</v>
      </c>
      <c r="B11" s="5" t="s">
        <v>92</v>
      </c>
      <c r="C11" s="38" t="s">
        <v>99</v>
      </c>
      <c r="D11" s="39"/>
    </row>
    <row r="12" spans="1:4" x14ac:dyDescent="0.2">
      <c r="A12" s="5">
        <v>3</v>
      </c>
      <c r="B12" s="5" t="s">
        <v>74</v>
      </c>
      <c r="C12" s="38"/>
      <c r="D12" s="39"/>
    </row>
    <row r="13" spans="1:4" x14ac:dyDescent="0.2">
      <c r="A13" s="5">
        <v>4</v>
      </c>
      <c r="B13" s="5" t="s">
        <v>75</v>
      </c>
      <c r="C13" s="38"/>
      <c r="D13" s="39"/>
    </row>
    <row r="14" spans="1:4" x14ac:dyDescent="0.2">
      <c r="A14" s="5">
        <v>5</v>
      </c>
      <c r="B14" s="5" t="s">
        <v>76</v>
      </c>
      <c r="C14" s="38"/>
      <c r="D14" s="39"/>
    </row>
    <row r="16" spans="1:4" x14ac:dyDescent="0.2">
      <c r="A16" s="42" t="s">
        <v>1</v>
      </c>
      <c r="B16" s="42"/>
      <c r="C16" s="42"/>
      <c r="D16" s="42"/>
    </row>
    <row r="18" spans="1:4" x14ac:dyDescent="0.2">
      <c r="A18" s="6">
        <v>1</v>
      </c>
      <c r="B18" s="40" t="s">
        <v>2</v>
      </c>
      <c r="C18" s="40"/>
      <c r="D18" s="6" t="s">
        <v>3</v>
      </c>
    </row>
    <row r="19" spans="1:4" x14ac:dyDescent="0.2">
      <c r="A19" s="7" t="s">
        <v>4</v>
      </c>
      <c r="B19" s="41" t="s">
        <v>5</v>
      </c>
      <c r="C19" s="41"/>
      <c r="D19" s="13">
        <v>2657.55</v>
      </c>
    </row>
    <row r="20" spans="1:4" x14ac:dyDescent="0.2">
      <c r="A20" s="7" t="s">
        <v>6</v>
      </c>
      <c r="B20" s="41" t="s">
        <v>7</v>
      </c>
      <c r="C20" s="41"/>
      <c r="D20" s="13"/>
    </row>
    <row r="21" spans="1:4" x14ac:dyDescent="0.2">
      <c r="A21" s="7" t="s">
        <v>8</v>
      </c>
      <c r="B21" s="41" t="s">
        <v>9</v>
      </c>
      <c r="C21" s="41"/>
      <c r="D21" s="13"/>
    </row>
    <row r="22" spans="1:4" x14ac:dyDescent="0.2">
      <c r="A22" s="7" t="s">
        <v>10</v>
      </c>
      <c r="B22" s="41" t="s">
        <v>11</v>
      </c>
      <c r="C22" s="41"/>
      <c r="D22" s="13"/>
    </row>
    <row r="23" spans="1:4" x14ac:dyDescent="0.2">
      <c r="A23" s="7" t="s">
        <v>12</v>
      </c>
      <c r="B23" s="41" t="s">
        <v>13</v>
      </c>
      <c r="C23" s="41"/>
      <c r="D23" s="13"/>
    </row>
    <row r="24" spans="1:4" x14ac:dyDescent="0.2">
      <c r="A24" s="7"/>
      <c r="B24" s="41"/>
      <c r="C24" s="41"/>
      <c r="D24" s="13"/>
    </row>
    <row r="25" spans="1:4" x14ac:dyDescent="0.2">
      <c r="A25" s="7" t="s">
        <v>14</v>
      </c>
      <c r="B25" s="41" t="s">
        <v>15</v>
      </c>
      <c r="C25" s="41"/>
      <c r="D25" s="13"/>
    </row>
    <row r="26" spans="1:4" x14ac:dyDescent="0.2">
      <c r="A26" s="40" t="s">
        <v>16</v>
      </c>
      <c r="B26" s="40"/>
      <c r="C26" s="40"/>
      <c r="D26" s="20">
        <f>SUM(D19:D25)</f>
        <v>2657.55</v>
      </c>
    </row>
    <row r="29" spans="1:4" x14ac:dyDescent="0.2">
      <c r="A29" s="43" t="s">
        <v>17</v>
      </c>
      <c r="B29" s="43"/>
      <c r="C29" s="43"/>
      <c r="D29" s="43"/>
    </row>
    <row r="30" spans="1:4" x14ac:dyDescent="0.2">
      <c r="A30" s="3"/>
    </row>
    <row r="31" spans="1:4" x14ac:dyDescent="0.2">
      <c r="A31" s="50" t="s">
        <v>18</v>
      </c>
      <c r="B31" s="50"/>
      <c r="C31" s="50"/>
      <c r="D31" s="50"/>
    </row>
    <row r="33" spans="1:4" x14ac:dyDescent="0.2">
      <c r="A33" s="6" t="s">
        <v>19</v>
      </c>
      <c r="B33" s="40" t="s">
        <v>20</v>
      </c>
      <c r="C33" s="40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221.37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295.25</v>
      </c>
    </row>
    <row r="36" spans="1:4" x14ac:dyDescent="0.2">
      <c r="A36" s="40" t="s">
        <v>16</v>
      </c>
      <c r="B36" s="40"/>
      <c r="C36" s="28">
        <f>SUM(C34:C35)</f>
        <v>0.19440000000000002</v>
      </c>
      <c r="D36" s="19">
        <f>SUM(D34:D35)</f>
        <v>516.62</v>
      </c>
    </row>
    <row r="39" spans="1:4" x14ac:dyDescent="0.2">
      <c r="A39" s="53" t="s">
        <v>23</v>
      </c>
      <c r="B39" s="53"/>
      <c r="C39" s="53"/>
      <c r="D39" s="53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634.83000000000004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50" si="0">TRUNC(($D$26+$D$36)*C43,2)</f>
        <v>79.349999999999994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95.22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47.61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31.74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19.04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6.34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253.93</v>
      </c>
    </row>
    <row r="50" spans="1:4" x14ac:dyDescent="0.2">
      <c r="A50" s="40" t="s">
        <v>37</v>
      </c>
      <c r="B50" s="40"/>
      <c r="C50" s="15">
        <f>SUM(C42:C49)</f>
        <v>0.36800000000000005</v>
      </c>
      <c r="D50" s="20">
        <f t="shared" si="0"/>
        <v>1168.0899999999999</v>
      </c>
    </row>
    <row r="53" spans="1:4" x14ac:dyDescent="0.2">
      <c r="A53" s="50" t="s">
        <v>38</v>
      </c>
      <c r="B53" s="50"/>
      <c r="C53" s="50"/>
      <c r="D53" s="50"/>
    </row>
    <row r="55" spans="1:4" x14ac:dyDescent="0.2">
      <c r="A55" s="6" t="s">
        <v>39</v>
      </c>
      <c r="B55" s="49" t="s">
        <v>40</v>
      </c>
      <c r="C55" s="49"/>
      <c r="D55" s="6" t="s">
        <v>3</v>
      </c>
    </row>
    <row r="56" spans="1:4" x14ac:dyDescent="0.2">
      <c r="A56" s="7" t="s">
        <v>4</v>
      </c>
      <c r="B56" s="41" t="s">
        <v>41</v>
      </c>
      <c r="C56" s="41"/>
      <c r="D56" s="13">
        <f>(21.75*2*5.2)-(D19*0.06)</f>
        <v>66.747000000000014</v>
      </c>
    </row>
    <row r="57" spans="1:4" x14ac:dyDescent="0.2">
      <c r="A57" s="7" t="s">
        <v>6</v>
      </c>
      <c r="B57" s="41" t="s">
        <v>42</v>
      </c>
      <c r="C57" s="41"/>
      <c r="D57" s="13">
        <f>17*21.75*0.8</f>
        <v>295.8</v>
      </c>
    </row>
    <row r="58" spans="1:4" x14ac:dyDescent="0.2">
      <c r="A58" s="7" t="s">
        <v>8</v>
      </c>
      <c r="B58" s="41" t="s">
        <v>100</v>
      </c>
      <c r="C58" s="41"/>
      <c r="D58" s="13">
        <v>170</v>
      </c>
    </row>
    <row r="59" spans="1:4" x14ac:dyDescent="0.2">
      <c r="A59" s="7" t="s">
        <v>10</v>
      </c>
      <c r="B59" s="41" t="s">
        <v>101</v>
      </c>
      <c r="C59" s="41"/>
      <c r="D59" s="13">
        <v>14</v>
      </c>
    </row>
    <row r="60" spans="1:4" x14ac:dyDescent="0.2">
      <c r="A60" s="29" t="s">
        <v>12</v>
      </c>
      <c r="B60" s="41" t="s">
        <v>102</v>
      </c>
      <c r="C60" s="41"/>
      <c r="D60" s="13">
        <v>4.4800000000000004</v>
      </c>
    </row>
    <row r="61" spans="1:4" x14ac:dyDescent="0.2">
      <c r="A61" s="40" t="s">
        <v>16</v>
      </c>
      <c r="B61" s="40"/>
      <c r="C61" s="40"/>
      <c r="D61" s="19">
        <f>SUM(D56:D60)</f>
        <v>551.02700000000004</v>
      </c>
    </row>
    <row r="64" spans="1:4" x14ac:dyDescent="0.2">
      <c r="A64" s="50" t="s">
        <v>43</v>
      </c>
      <c r="B64" s="50"/>
      <c r="C64" s="50"/>
      <c r="D64" s="50"/>
    </row>
    <row r="66" spans="1:5" x14ac:dyDescent="0.2">
      <c r="A66" s="6">
        <v>2</v>
      </c>
      <c r="B66" s="49" t="s">
        <v>44</v>
      </c>
      <c r="C66" s="49"/>
      <c r="D66" s="6" t="s">
        <v>3</v>
      </c>
    </row>
    <row r="67" spans="1:5" x14ac:dyDescent="0.2">
      <c r="A67" s="7" t="s">
        <v>19</v>
      </c>
      <c r="B67" s="41" t="s">
        <v>20</v>
      </c>
      <c r="C67" s="41"/>
      <c r="D67" s="14">
        <f>D36</f>
        <v>516.62</v>
      </c>
    </row>
    <row r="68" spans="1:5" x14ac:dyDescent="0.2">
      <c r="A68" s="7" t="s">
        <v>24</v>
      </c>
      <c r="B68" s="41" t="s">
        <v>25</v>
      </c>
      <c r="C68" s="41"/>
      <c r="D68" s="14">
        <f>D50</f>
        <v>1168.0899999999999</v>
      </c>
    </row>
    <row r="69" spans="1:5" x14ac:dyDescent="0.2">
      <c r="A69" s="7" t="s">
        <v>39</v>
      </c>
      <c r="B69" s="41" t="s">
        <v>40</v>
      </c>
      <c r="C69" s="41"/>
      <c r="D69" s="14">
        <f>D61</f>
        <v>551.02700000000004</v>
      </c>
    </row>
    <row r="70" spans="1:5" x14ac:dyDescent="0.2">
      <c r="A70" s="40" t="s">
        <v>16</v>
      </c>
      <c r="B70" s="40"/>
      <c r="C70" s="40"/>
      <c r="D70" s="19">
        <f>SUM(D67:D69)</f>
        <v>2235.7370000000001</v>
      </c>
    </row>
    <row r="71" spans="1:5" x14ac:dyDescent="0.2">
      <c r="A71" s="4"/>
      <c r="E71" s="18"/>
    </row>
    <row r="73" spans="1:5" x14ac:dyDescent="0.2">
      <c r="A73" s="43" t="s">
        <v>45</v>
      </c>
      <c r="B73" s="43"/>
      <c r="C73" s="43"/>
      <c r="D73" s="43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49" t="s">
        <v>46</v>
      </c>
      <c r="C75" s="49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10.89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0.87</v>
      </c>
    </row>
    <row r="78" spans="1:5" x14ac:dyDescent="0.2">
      <c r="A78" s="7" t="s">
        <v>8</v>
      </c>
      <c r="B78" s="10" t="s">
        <v>103</v>
      </c>
      <c r="C78" s="9">
        <f>TRUNC(8%*5%*40%,4)</f>
        <v>1.6000000000000001E-3</v>
      </c>
      <c r="D78" s="13">
        <f>TRUNC($D$26*C78,2)</f>
        <v>4.25</v>
      </c>
    </row>
    <row r="79" spans="1:5" x14ac:dyDescent="0.2">
      <c r="A79" s="7" t="s">
        <v>10</v>
      </c>
      <c r="B79" s="10" t="s">
        <v>49</v>
      </c>
      <c r="C79" s="9">
        <f>TRUNC(((7/30)/12)*95%,4)</f>
        <v>1.84E-2</v>
      </c>
      <c r="D79" s="13">
        <f>TRUNC($D$26*C79,2)</f>
        <v>48.89</v>
      </c>
    </row>
    <row r="80" spans="1:5" ht="25.5" x14ac:dyDescent="0.2">
      <c r="A80" s="7" t="s">
        <v>12</v>
      </c>
      <c r="B80" s="10" t="s">
        <v>93</v>
      </c>
      <c r="C80" s="9">
        <f>C50</f>
        <v>0.36800000000000005</v>
      </c>
      <c r="D80" s="13">
        <f>TRUNC(D79*C80,2)</f>
        <v>17.989999999999998</v>
      </c>
    </row>
    <row r="81" spans="1:4" x14ac:dyDescent="0.2">
      <c r="A81" s="7" t="s">
        <v>32</v>
      </c>
      <c r="B81" s="10" t="s">
        <v>104</v>
      </c>
      <c r="C81" s="9">
        <f>TRUNC(8%*95%*40%,4)</f>
        <v>3.04E-2</v>
      </c>
      <c r="D81" s="13">
        <f t="shared" ref="D81" si="1">TRUNC($D$26*C81,2)</f>
        <v>80.78</v>
      </c>
    </row>
    <row r="82" spans="1:4" x14ac:dyDescent="0.2">
      <c r="A82" s="47" t="s">
        <v>16</v>
      </c>
      <c r="B82" s="48"/>
      <c r="C82" s="51"/>
      <c r="D82" s="19">
        <f>SUM(D76:D81)</f>
        <v>163.67000000000002</v>
      </c>
    </row>
    <row r="85" spans="1:4" x14ac:dyDescent="0.2">
      <c r="A85" s="43" t="s">
        <v>50</v>
      </c>
      <c r="B85" s="43"/>
      <c r="C85" s="43"/>
      <c r="D85" s="43"/>
    </row>
    <row r="88" spans="1:4" x14ac:dyDescent="0.2">
      <c r="A88" s="50" t="s">
        <v>77</v>
      </c>
      <c r="B88" s="50"/>
      <c r="C88" s="50"/>
      <c r="D88" s="50"/>
    </row>
    <row r="89" spans="1:4" x14ac:dyDescent="0.2">
      <c r="A89" s="3"/>
    </row>
    <row r="90" spans="1:4" x14ac:dyDescent="0.2">
      <c r="A90" s="6" t="s">
        <v>51</v>
      </c>
      <c r="B90" s="49" t="s">
        <v>78</v>
      </c>
      <c r="C90" s="49"/>
      <c r="D90" s="6" t="s">
        <v>3</v>
      </c>
    </row>
    <row r="91" spans="1:4" x14ac:dyDescent="0.2">
      <c r="A91" s="7" t="s">
        <v>4</v>
      </c>
      <c r="B91" s="8" t="s">
        <v>79</v>
      </c>
      <c r="C91" s="9">
        <f>TRUNC(((1+1/3)/12)/12,4)</f>
        <v>9.1999999999999998E-3</v>
      </c>
      <c r="D91" s="13">
        <f>TRUNC(($D$26+$D$70+$D$82)*C91,2)</f>
        <v>46.52</v>
      </c>
    </row>
    <row r="92" spans="1:4" x14ac:dyDescent="0.2">
      <c r="A92" s="7" t="s">
        <v>6</v>
      </c>
      <c r="B92" s="8" t="s">
        <v>80</v>
      </c>
      <c r="C92" s="9">
        <f>TRUNC(((2/30)/12),4)</f>
        <v>5.4999999999999997E-3</v>
      </c>
      <c r="D92" s="13">
        <f t="shared" ref="D92:D96" si="2">TRUNC(($D$26+$D$70+$D$82)*C92,2)</f>
        <v>27.81</v>
      </c>
    </row>
    <row r="93" spans="1:4" x14ac:dyDescent="0.2">
      <c r="A93" s="7" t="s">
        <v>8</v>
      </c>
      <c r="B93" s="8" t="s">
        <v>81</v>
      </c>
      <c r="C93" s="9">
        <f>TRUNC(((5/30)/12)*2%,4)</f>
        <v>2.0000000000000001E-4</v>
      </c>
      <c r="D93" s="13">
        <f t="shared" si="2"/>
        <v>1.01</v>
      </c>
    </row>
    <row r="94" spans="1:4" x14ac:dyDescent="0.2">
      <c r="A94" s="7" t="s">
        <v>10</v>
      </c>
      <c r="B94" s="8" t="s">
        <v>82</v>
      </c>
      <c r="C94" s="9">
        <f>TRUNC(((15/30)/12)*8%,4)</f>
        <v>3.3E-3</v>
      </c>
      <c r="D94" s="13">
        <f t="shared" si="2"/>
        <v>16.68</v>
      </c>
    </row>
    <row r="95" spans="1:4" x14ac:dyDescent="0.2">
      <c r="A95" s="7" t="s">
        <v>12</v>
      </c>
      <c r="B95" s="8" t="s">
        <v>83</v>
      </c>
      <c r="C95" s="9">
        <f>((1+1/3)/12)*3%*(4/12)</f>
        <v>1.1111111111111109E-3</v>
      </c>
      <c r="D95" s="13">
        <f t="shared" si="2"/>
        <v>5.61</v>
      </c>
    </row>
    <row r="96" spans="1:4" x14ac:dyDescent="0.2">
      <c r="A96" s="7" t="s">
        <v>32</v>
      </c>
      <c r="B96" s="8" t="s">
        <v>84</v>
      </c>
      <c r="C96" s="9"/>
      <c r="D96" s="13">
        <f t="shared" si="2"/>
        <v>0</v>
      </c>
    </row>
    <row r="97" spans="1:6" x14ac:dyDescent="0.2">
      <c r="A97" s="40" t="s">
        <v>37</v>
      </c>
      <c r="B97" s="40"/>
      <c r="C97" s="40"/>
      <c r="D97" s="19">
        <f>SUM(D91:D96)</f>
        <v>97.63000000000001</v>
      </c>
      <c r="E97" s="17"/>
      <c r="F97" s="17"/>
    </row>
    <row r="100" spans="1:6" x14ac:dyDescent="0.2">
      <c r="A100" s="50" t="s">
        <v>85</v>
      </c>
      <c r="B100" s="50"/>
      <c r="C100" s="50"/>
      <c r="D100" s="50"/>
    </row>
    <row r="101" spans="1:6" x14ac:dyDescent="0.2">
      <c r="A101" s="3"/>
    </row>
    <row r="102" spans="1:6" x14ac:dyDescent="0.2">
      <c r="A102" s="6" t="s">
        <v>52</v>
      </c>
      <c r="B102" s="49" t="s">
        <v>86</v>
      </c>
      <c r="C102" s="49"/>
      <c r="D102" s="6" t="s">
        <v>3</v>
      </c>
    </row>
    <row r="103" spans="1:6" x14ac:dyDescent="0.2">
      <c r="A103" s="7" t="s">
        <v>4</v>
      </c>
      <c r="B103" s="44" t="s">
        <v>87</v>
      </c>
      <c r="C103" s="45"/>
      <c r="D103" s="13">
        <f>((D26+D70+D82)/220)*22*0</f>
        <v>0</v>
      </c>
    </row>
    <row r="104" spans="1:6" x14ac:dyDescent="0.2">
      <c r="A104" s="40" t="s">
        <v>16</v>
      </c>
      <c r="B104" s="40"/>
      <c r="C104" s="40"/>
      <c r="D104" s="19">
        <f>SUM(D103)</f>
        <v>0</v>
      </c>
    </row>
    <row r="107" spans="1:6" x14ac:dyDescent="0.2">
      <c r="A107" s="50" t="s">
        <v>53</v>
      </c>
      <c r="B107" s="50"/>
      <c r="C107" s="50"/>
      <c r="D107" s="50"/>
    </row>
    <row r="108" spans="1:6" x14ac:dyDescent="0.2">
      <c r="A108" s="3"/>
    </row>
    <row r="109" spans="1:6" x14ac:dyDescent="0.2">
      <c r="A109" s="6">
        <v>4</v>
      </c>
      <c r="B109" s="40" t="s">
        <v>54</v>
      </c>
      <c r="C109" s="40"/>
      <c r="D109" s="6" t="s">
        <v>3</v>
      </c>
    </row>
    <row r="110" spans="1:6" x14ac:dyDescent="0.2">
      <c r="A110" s="7" t="s">
        <v>51</v>
      </c>
      <c r="B110" s="41" t="s">
        <v>78</v>
      </c>
      <c r="C110" s="41"/>
      <c r="D110" s="14">
        <f>D97</f>
        <v>97.63000000000001</v>
      </c>
    </row>
    <row r="111" spans="1:6" x14ac:dyDescent="0.2">
      <c r="A111" s="7" t="s">
        <v>52</v>
      </c>
      <c r="B111" s="41" t="s">
        <v>86</v>
      </c>
      <c r="C111" s="41"/>
      <c r="D111" s="14">
        <f>D104</f>
        <v>0</v>
      </c>
    </row>
    <row r="112" spans="1:6" x14ac:dyDescent="0.2">
      <c r="A112" s="40" t="s">
        <v>16</v>
      </c>
      <c r="B112" s="40"/>
      <c r="C112" s="40"/>
      <c r="D112" s="19">
        <f>SUM(D110:D111)</f>
        <v>97.63000000000001</v>
      </c>
    </row>
    <row r="115" spans="1:4" x14ac:dyDescent="0.2">
      <c r="A115" s="43" t="s">
        <v>55</v>
      </c>
      <c r="B115" s="43"/>
      <c r="C115" s="43"/>
      <c r="D115" s="43"/>
    </row>
    <row r="117" spans="1:4" x14ac:dyDescent="0.2">
      <c r="A117" s="6">
        <v>5</v>
      </c>
      <c r="B117" s="46" t="s">
        <v>56</v>
      </c>
      <c r="C117" s="46"/>
      <c r="D117" s="6" t="s">
        <v>3</v>
      </c>
    </row>
    <row r="118" spans="1:4" x14ac:dyDescent="0.2">
      <c r="A118" s="7" t="s">
        <v>4</v>
      </c>
      <c r="B118" s="8" t="s">
        <v>57</v>
      </c>
      <c r="C118" s="8"/>
      <c r="D118" s="13">
        <v>83.76</v>
      </c>
    </row>
    <row r="119" spans="1:4" x14ac:dyDescent="0.2">
      <c r="A119" s="7" t="s">
        <v>6</v>
      </c>
      <c r="B119" s="8" t="s">
        <v>58</v>
      </c>
      <c r="C119" s="8"/>
      <c r="D119" s="13"/>
    </row>
    <row r="120" spans="1:4" x14ac:dyDescent="0.2">
      <c r="A120" s="7" t="s">
        <v>8</v>
      </c>
      <c r="B120" s="8" t="s">
        <v>59</v>
      </c>
      <c r="C120" s="8"/>
      <c r="D120" s="13"/>
    </row>
    <row r="121" spans="1:4" x14ac:dyDescent="0.2">
      <c r="A121" s="7" t="s">
        <v>10</v>
      </c>
      <c r="B121" s="8" t="s">
        <v>15</v>
      </c>
      <c r="C121" s="8"/>
      <c r="D121" s="13"/>
    </row>
    <row r="122" spans="1:4" x14ac:dyDescent="0.2">
      <c r="A122" s="40" t="s">
        <v>37</v>
      </c>
      <c r="B122" s="40"/>
      <c r="C122" s="40"/>
      <c r="D122" s="20">
        <f>SUM(D118:D121)</f>
        <v>83.76</v>
      </c>
    </row>
    <row r="125" spans="1:4" x14ac:dyDescent="0.2">
      <c r="A125" s="43" t="s">
        <v>60</v>
      </c>
      <c r="B125" s="43"/>
      <c r="C125" s="43"/>
      <c r="D125" s="43"/>
    </row>
    <row r="127" spans="1:4" x14ac:dyDescent="0.2">
      <c r="A127" s="6">
        <v>6</v>
      </c>
      <c r="B127" s="11" t="s">
        <v>61</v>
      </c>
      <c r="C127" s="6" t="s">
        <v>26</v>
      </c>
      <c r="D127" s="6" t="s">
        <v>3</v>
      </c>
    </row>
    <row r="128" spans="1:4" x14ac:dyDescent="0.2">
      <c r="A128" s="7" t="s">
        <v>4</v>
      </c>
      <c r="B128" s="8" t="s">
        <v>62</v>
      </c>
      <c r="C128" s="9">
        <v>0.05</v>
      </c>
      <c r="D128" s="14">
        <f>TRUNC(D148*C128,2)</f>
        <v>261.91000000000003</v>
      </c>
    </row>
    <row r="129" spans="1:4" x14ac:dyDescent="0.2">
      <c r="A129" s="7" t="s">
        <v>6</v>
      </c>
      <c r="B129" s="8" t="s">
        <v>63</v>
      </c>
      <c r="C129" s="9">
        <v>0.06</v>
      </c>
      <c r="D129" s="13">
        <f>TRUNC((D148+D128)*C129,2)</f>
        <v>330.01</v>
      </c>
    </row>
    <row r="130" spans="1:4" x14ac:dyDescent="0.2">
      <c r="A130" s="7" t="s">
        <v>8</v>
      </c>
      <c r="B130" s="8" t="s">
        <v>64</v>
      </c>
      <c r="C130" s="12">
        <f>SUM(C131:C136)</f>
        <v>8.6499999999999994E-2</v>
      </c>
      <c r="D130" s="13">
        <f>TRUNC((D148+D128+D129)*C130/(1-C130),2)</f>
        <v>552.07000000000005</v>
      </c>
    </row>
    <row r="131" spans="1:4" x14ac:dyDescent="0.2">
      <c r="A131" s="7"/>
      <c r="B131" s="8" t="s">
        <v>65</v>
      </c>
      <c r="C131" s="9"/>
      <c r="D131" s="14">
        <f>$D$150*C131</f>
        <v>0</v>
      </c>
    </row>
    <row r="132" spans="1:4" x14ac:dyDescent="0.2">
      <c r="A132" s="7"/>
      <c r="B132" s="25" t="s">
        <v>95</v>
      </c>
      <c r="C132" s="9">
        <v>6.4999999999999997E-3</v>
      </c>
      <c r="D132" s="14">
        <f t="shared" ref="D132:D133" si="3">$D$150*C132</f>
        <v>41.485144999999996</v>
      </c>
    </row>
    <row r="133" spans="1:4" x14ac:dyDescent="0.2">
      <c r="A133" s="7"/>
      <c r="B133" s="25" t="s">
        <v>96</v>
      </c>
      <c r="C133" s="9">
        <v>0.03</v>
      </c>
      <c r="D133" s="14">
        <f t="shared" si="3"/>
        <v>191.4699</v>
      </c>
    </row>
    <row r="134" spans="1:4" x14ac:dyDescent="0.2">
      <c r="A134" s="7"/>
      <c r="B134" s="8" t="s">
        <v>66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67</v>
      </c>
      <c r="C135" s="9"/>
      <c r="D135" s="14">
        <f t="shared" si="4"/>
        <v>0</v>
      </c>
    </row>
    <row r="136" spans="1:4" x14ac:dyDescent="0.2">
      <c r="A136" s="7"/>
      <c r="B136" s="25" t="s">
        <v>97</v>
      </c>
      <c r="C136" s="9">
        <v>0.05</v>
      </c>
      <c r="D136" s="14">
        <f t="shared" ref="D136" si="5">$D$150*C136</f>
        <v>319.11650000000003</v>
      </c>
    </row>
    <row r="137" spans="1:4" ht="13.5" x14ac:dyDescent="0.2">
      <c r="A137" s="47" t="s">
        <v>37</v>
      </c>
      <c r="B137" s="48"/>
      <c r="C137" s="21">
        <f>(1+C129)*(1+C128)/(1-C130)-1</f>
        <v>0.21839080459770144</v>
      </c>
      <c r="D137" s="19">
        <f>TRUNC(SUM(D128:D130),2)</f>
        <v>1143.99</v>
      </c>
    </row>
    <row r="140" spans="1:4" x14ac:dyDescent="0.2">
      <c r="A140" s="43" t="s">
        <v>68</v>
      </c>
      <c r="B140" s="43"/>
      <c r="C140" s="43"/>
      <c r="D140" s="43"/>
    </row>
    <row r="142" spans="1:4" x14ac:dyDescent="0.2">
      <c r="A142" s="6"/>
      <c r="B142" s="40" t="s">
        <v>69</v>
      </c>
      <c r="C142" s="40"/>
      <c r="D142" s="6" t="s">
        <v>3</v>
      </c>
    </row>
    <row r="143" spans="1:4" x14ac:dyDescent="0.2">
      <c r="A143" s="6" t="s">
        <v>4</v>
      </c>
      <c r="B143" s="41" t="s">
        <v>1</v>
      </c>
      <c r="C143" s="41"/>
      <c r="D143" s="22">
        <f>D26</f>
        <v>2657.55</v>
      </c>
    </row>
    <row r="144" spans="1:4" x14ac:dyDescent="0.2">
      <c r="A144" s="6" t="s">
        <v>6</v>
      </c>
      <c r="B144" s="41" t="s">
        <v>17</v>
      </c>
      <c r="C144" s="41"/>
      <c r="D144" s="22">
        <f>D70</f>
        <v>2235.7370000000001</v>
      </c>
    </row>
    <row r="145" spans="1:4" x14ac:dyDescent="0.2">
      <c r="A145" s="6" t="s">
        <v>8</v>
      </c>
      <c r="B145" s="41" t="s">
        <v>45</v>
      </c>
      <c r="C145" s="41"/>
      <c r="D145" s="22">
        <f>D82</f>
        <v>163.67000000000002</v>
      </c>
    </row>
    <row r="146" spans="1:4" x14ac:dyDescent="0.2">
      <c r="A146" s="6" t="s">
        <v>10</v>
      </c>
      <c r="B146" s="41" t="s">
        <v>50</v>
      </c>
      <c r="C146" s="41"/>
      <c r="D146" s="22">
        <f>D112</f>
        <v>97.63000000000001</v>
      </c>
    </row>
    <row r="147" spans="1:4" x14ac:dyDescent="0.2">
      <c r="A147" s="6" t="s">
        <v>12</v>
      </c>
      <c r="B147" s="41" t="s">
        <v>55</v>
      </c>
      <c r="C147" s="41"/>
      <c r="D147" s="22">
        <f>D122</f>
        <v>83.76</v>
      </c>
    </row>
    <row r="148" spans="1:4" x14ac:dyDescent="0.2">
      <c r="A148" s="40" t="s">
        <v>94</v>
      </c>
      <c r="B148" s="40"/>
      <c r="C148" s="40"/>
      <c r="D148" s="23">
        <f>SUM(D143:D147)</f>
        <v>5238.3470000000007</v>
      </c>
    </row>
    <row r="149" spans="1:4" x14ac:dyDescent="0.2">
      <c r="A149" s="6" t="s">
        <v>32</v>
      </c>
      <c r="B149" s="41" t="s">
        <v>70</v>
      </c>
      <c r="C149" s="41"/>
      <c r="D149" s="24">
        <f>D137</f>
        <v>1143.99</v>
      </c>
    </row>
    <row r="150" spans="1:4" x14ac:dyDescent="0.2">
      <c r="A150" s="40" t="s">
        <v>71</v>
      </c>
      <c r="B150" s="40"/>
      <c r="C150" s="40"/>
      <c r="D150" s="23">
        <f>TRUNC(SUM(D148:D149),2)</f>
        <v>6382.33</v>
      </c>
    </row>
  </sheetData>
  <mergeCells count="71">
    <mergeCell ref="B147:C147"/>
    <mergeCell ref="A148:C148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88:D88"/>
    <mergeCell ref="B90:C90"/>
    <mergeCell ref="B58:C58"/>
    <mergeCell ref="B59:C59"/>
    <mergeCell ref="A61:C61"/>
    <mergeCell ref="A85:D85"/>
    <mergeCell ref="A82:C82"/>
    <mergeCell ref="B60:C60"/>
    <mergeCell ref="B102:C102"/>
    <mergeCell ref="A104:C104"/>
    <mergeCell ref="A107:D107"/>
    <mergeCell ref="B109:C109"/>
    <mergeCell ref="B110:C110"/>
    <mergeCell ref="B149:C149"/>
    <mergeCell ref="A150:C150"/>
    <mergeCell ref="A125:D125"/>
    <mergeCell ref="B103:C103"/>
    <mergeCell ref="B111:C111"/>
    <mergeCell ref="A112:C112"/>
    <mergeCell ref="A115:D115"/>
    <mergeCell ref="B117:C117"/>
    <mergeCell ref="A122:C122"/>
    <mergeCell ref="A137:B137"/>
    <mergeCell ref="A140:D140"/>
    <mergeCell ref="B142:C142"/>
    <mergeCell ref="B143:C143"/>
    <mergeCell ref="B144:C144"/>
    <mergeCell ref="B145:C145"/>
    <mergeCell ref="B146:C146"/>
    <mergeCell ref="A5:B5"/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</mergeCells>
  <pageMargins left="0.51181102362204722" right="0.51181102362204722" top="1.4960629921259843" bottom="0.78740157480314965" header="0.31496062992125984" footer="0.31496062992125984"/>
  <pageSetup paperSize="9" scale="84" fitToHeight="0" orientation="portrait" r:id="rId1"/>
  <headerFooter>
    <oddHeader>&amp;C&amp;G</oddHeader>
    <oddFooter>&amp;L&amp;"-,Negrito"Elaborado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34" zoomScaleNormal="100" workbookViewId="0">
      <selection activeCell="K34" sqref="K3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2" t="s">
        <v>0</v>
      </c>
      <c r="B1" s="52"/>
      <c r="C1" s="52"/>
      <c r="D1" s="52"/>
    </row>
    <row r="2" spans="1:4" ht="15.75" x14ac:dyDescent="0.25">
      <c r="A2" s="26"/>
      <c r="B2" s="26"/>
      <c r="C2" s="26"/>
      <c r="D2" s="26"/>
    </row>
    <row r="3" spans="1:4" x14ac:dyDescent="0.2">
      <c r="A3" s="42" t="s">
        <v>88</v>
      </c>
      <c r="B3" s="42"/>
      <c r="C3" s="42"/>
      <c r="D3" s="42"/>
    </row>
    <row r="4" spans="1:4" x14ac:dyDescent="0.2">
      <c r="A4" s="2"/>
      <c r="B4" s="2"/>
      <c r="C4" s="2"/>
      <c r="D4" s="2"/>
    </row>
    <row r="5" spans="1:4" ht="38.25" x14ac:dyDescent="0.2">
      <c r="A5" s="36" t="s">
        <v>89</v>
      </c>
      <c r="B5" s="36"/>
      <c r="C5" s="33" t="s">
        <v>90</v>
      </c>
      <c r="D5" s="27" t="s">
        <v>91</v>
      </c>
    </row>
    <row r="6" spans="1:4" s="35" customFormat="1" x14ac:dyDescent="0.25">
      <c r="A6" s="37" t="s">
        <v>106</v>
      </c>
      <c r="B6" s="37"/>
      <c r="C6" s="34" t="s">
        <v>98</v>
      </c>
      <c r="D6" s="34">
        <v>1</v>
      </c>
    </row>
    <row r="8" spans="1:4" x14ac:dyDescent="0.2">
      <c r="A8" s="42" t="s">
        <v>72</v>
      </c>
      <c r="B8" s="42"/>
      <c r="C8" s="42"/>
      <c r="D8" s="4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38" t="s">
        <v>106</v>
      </c>
      <c r="D10" s="39"/>
    </row>
    <row r="11" spans="1:4" x14ac:dyDescent="0.2">
      <c r="A11" s="5">
        <v>2</v>
      </c>
      <c r="B11" s="5" t="s">
        <v>92</v>
      </c>
      <c r="C11" s="38" t="s">
        <v>107</v>
      </c>
      <c r="D11" s="39"/>
    </row>
    <row r="12" spans="1:4" x14ac:dyDescent="0.2">
      <c r="A12" s="5">
        <v>3</v>
      </c>
      <c r="B12" s="5" t="s">
        <v>74</v>
      </c>
      <c r="C12" s="38"/>
      <c r="D12" s="39"/>
    </row>
    <row r="13" spans="1:4" x14ac:dyDescent="0.2">
      <c r="A13" s="5">
        <v>4</v>
      </c>
      <c r="B13" s="5" t="s">
        <v>75</v>
      </c>
      <c r="C13" s="38"/>
      <c r="D13" s="39"/>
    </row>
    <row r="14" spans="1:4" x14ac:dyDescent="0.2">
      <c r="A14" s="5">
        <v>5</v>
      </c>
      <c r="B14" s="5" t="s">
        <v>76</v>
      </c>
      <c r="C14" s="38"/>
      <c r="D14" s="39"/>
    </row>
    <row r="16" spans="1:4" x14ac:dyDescent="0.2">
      <c r="A16" s="42" t="s">
        <v>1</v>
      </c>
      <c r="B16" s="42"/>
      <c r="C16" s="42"/>
      <c r="D16" s="42"/>
    </row>
    <row r="18" spans="1:4" x14ac:dyDescent="0.2">
      <c r="A18" s="31">
        <v>1</v>
      </c>
      <c r="B18" s="40" t="s">
        <v>2</v>
      </c>
      <c r="C18" s="40"/>
      <c r="D18" s="31" t="s">
        <v>3</v>
      </c>
    </row>
    <row r="19" spans="1:4" x14ac:dyDescent="0.2">
      <c r="A19" s="33" t="s">
        <v>4</v>
      </c>
      <c r="B19" s="41" t="s">
        <v>5</v>
      </c>
      <c r="C19" s="41"/>
      <c r="D19" s="13">
        <v>2218.06</v>
      </c>
    </row>
    <row r="20" spans="1:4" x14ac:dyDescent="0.2">
      <c r="A20" s="33" t="s">
        <v>6</v>
      </c>
      <c r="B20" s="41" t="s">
        <v>7</v>
      </c>
      <c r="C20" s="41"/>
      <c r="D20" s="13"/>
    </row>
    <row r="21" spans="1:4" x14ac:dyDescent="0.2">
      <c r="A21" s="33" t="s">
        <v>8</v>
      </c>
      <c r="B21" s="41" t="s">
        <v>9</v>
      </c>
      <c r="C21" s="41"/>
      <c r="D21" s="13"/>
    </row>
    <row r="22" spans="1:4" x14ac:dyDescent="0.2">
      <c r="A22" s="33" t="s">
        <v>10</v>
      </c>
      <c r="B22" s="41" t="s">
        <v>11</v>
      </c>
      <c r="C22" s="41"/>
      <c r="D22" s="13"/>
    </row>
    <row r="23" spans="1:4" x14ac:dyDescent="0.2">
      <c r="A23" s="33" t="s">
        <v>12</v>
      </c>
      <c r="B23" s="41" t="s">
        <v>13</v>
      </c>
      <c r="C23" s="41"/>
      <c r="D23" s="13"/>
    </row>
    <row r="24" spans="1:4" x14ac:dyDescent="0.2">
      <c r="A24" s="33"/>
      <c r="B24" s="41"/>
      <c r="C24" s="41"/>
      <c r="D24" s="13"/>
    </row>
    <row r="25" spans="1:4" x14ac:dyDescent="0.2">
      <c r="A25" s="33" t="s">
        <v>14</v>
      </c>
      <c r="B25" s="41" t="s">
        <v>15</v>
      </c>
      <c r="C25" s="41"/>
      <c r="D25" s="13"/>
    </row>
    <row r="26" spans="1:4" x14ac:dyDescent="0.2">
      <c r="A26" s="40" t="s">
        <v>16</v>
      </c>
      <c r="B26" s="40"/>
      <c r="C26" s="40"/>
      <c r="D26" s="20">
        <f>SUM(D19:D25)</f>
        <v>2218.06</v>
      </c>
    </row>
    <row r="29" spans="1:4" x14ac:dyDescent="0.2">
      <c r="A29" s="43" t="s">
        <v>17</v>
      </c>
      <c r="B29" s="43"/>
      <c r="C29" s="43"/>
      <c r="D29" s="43"/>
    </row>
    <row r="30" spans="1:4" x14ac:dyDescent="0.2">
      <c r="A30" s="3"/>
    </row>
    <row r="31" spans="1:4" x14ac:dyDescent="0.2">
      <c r="A31" s="50" t="s">
        <v>18</v>
      </c>
      <c r="B31" s="50"/>
      <c r="C31" s="50"/>
      <c r="D31" s="50"/>
    </row>
    <row r="33" spans="1:4" x14ac:dyDescent="0.2">
      <c r="A33" s="31" t="s">
        <v>19</v>
      </c>
      <c r="B33" s="40" t="s">
        <v>20</v>
      </c>
      <c r="C33" s="40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184.76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246.42</v>
      </c>
    </row>
    <row r="36" spans="1:4" x14ac:dyDescent="0.2">
      <c r="A36" s="40" t="s">
        <v>16</v>
      </c>
      <c r="B36" s="40"/>
      <c r="C36" s="28">
        <f>SUM(C34:C35)</f>
        <v>0.19440000000000002</v>
      </c>
      <c r="D36" s="19">
        <f>SUM(D34:D35)</f>
        <v>431.17999999999995</v>
      </c>
    </row>
    <row r="39" spans="1:4" x14ac:dyDescent="0.2">
      <c r="A39" s="53" t="s">
        <v>23</v>
      </c>
      <c r="B39" s="53"/>
      <c r="C39" s="53"/>
      <c r="D39" s="53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529.84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50" si="0">TRUNC(($D$26+$D$36)*C43,2)</f>
        <v>66.23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79.47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39.729999999999997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26.49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15.89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5.29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211.93</v>
      </c>
    </row>
    <row r="50" spans="1:4" x14ac:dyDescent="0.2">
      <c r="A50" s="40" t="s">
        <v>37</v>
      </c>
      <c r="B50" s="40"/>
      <c r="C50" s="15">
        <f>SUM(C42:C49)</f>
        <v>0.36800000000000005</v>
      </c>
      <c r="D50" s="20">
        <f t="shared" si="0"/>
        <v>974.92</v>
      </c>
    </row>
    <row r="53" spans="1:4" x14ac:dyDescent="0.2">
      <c r="A53" s="50" t="s">
        <v>38</v>
      </c>
      <c r="B53" s="50"/>
      <c r="C53" s="50"/>
      <c r="D53" s="50"/>
    </row>
    <row r="55" spans="1:4" x14ac:dyDescent="0.2">
      <c r="A55" s="31" t="s">
        <v>39</v>
      </c>
      <c r="B55" s="49" t="s">
        <v>40</v>
      </c>
      <c r="C55" s="49"/>
      <c r="D55" s="31" t="s">
        <v>3</v>
      </c>
    </row>
    <row r="56" spans="1:4" x14ac:dyDescent="0.2">
      <c r="A56" s="33" t="s">
        <v>4</v>
      </c>
      <c r="B56" s="41" t="s">
        <v>41</v>
      </c>
      <c r="C56" s="41"/>
      <c r="D56" s="13">
        <f>(21.75*2*5.2)-(D19*0.06)</f>
        <v>93.116400000000027</v>
      </c>
    </row>
    <row r="57" spans="1:4" x14ac:dyDescent="0.2">
      <c r="A57" s="33" t="s">
        <v>6</v>
      </c>
      <c r="B57" s="41" t="s">
        <v>42</v>
      </c>
      <c r="C57" s="41"/>
      <c r="D57" s="13">
        <f>17*21.75*0.8</f>
        <v>295.8</v>
      </c>
    </row>
    <row r="58" spans="1:4" x14ac:dyDescent="0.2">
      <c r="A58" s="33" t="s">
        <v>8</v>
      </c>
      <c r="B58" s="41" t="s">
        <v>100</v>
      </c>
      <c r="C58" s="41"/>
      <c r="D58" s="13">
        <v>170</v>
      </c>
    </row>
    <row r="59" spans="1:4" x14ac:dyDescent="0.2">
      <c r="A59" s="33" t="s">
        <v>10</v>
      </c>
      <c r="B59" s="41" t="s">
        <v>101</v>
      </c>
      <c r="C59" s="41"/>
      <c r="D59" s="13">
        <v>14</v>
      </c>
    </row>
    <row r="60" spans="1:4" x14ac:dyDescent="0.2">
      <c r="A60" s="33" t="s">
        <v>12</v>
      </c>
      <c r="B60" s="41" t="s">
        <v>102</v>
      </c>
      <c r="C60" s="41"/>
      <c r="D60" s="13">
        <v>4.4800000000000004</v>
      </c>
    </row>
    <row r="61" spans="1:4" x14ac:dyDescent="0.2">
      <c r="A61" s="40" t="s">
        <v>16</v>
      </c>
      <c r="B61" s="40"/>
      <c r="C61" s="40"/>
      <c r="D61" s="19">
        <f>SUM(D56:D60)</f>
        <v>577.39640000000009</v>
      </c>
    </row>
    <row r="64" spans="1:4" x14ac:dyDescent="0.2">
      <c r="A64" s="50" t="s">
        <v>43</v>
      </c>
      <c r="B64" s="50"/>
      <c r="C64" s="50"/>
      <c r="D64" s="50"/>
    </row>
    <row r="66" spans="1:5" x14ac:dyDescent="0.2">
      <c r="A66" s="31">
        <v>2</v>
      </c>
      <c r="B66" s="49" t="s">
        <v>44</v>
      </c>
      <c r="C66" s="49"/>
      <c r="D66" s="31" t="s">
        <v>3</v>
      </c>
    </row>
    <row r="67" spans="1:5" x14ac:dyDescent="0.2">
      <c r="A67" s="33" t="s">
        <v>19</v>
      </c>
      <c r="B67" s="41" t="s">
        <v>20</v>
      </c>
      <c r="C67" s="41"/>
      <c r="D67" s="14">
        <f>D36</f>
        <v>431.17999999999995</v>
      </c>
    </row>
    <row r="68" spans="1:5" x14ac:dyDescent="0.2">
      <c r="A68" s="33" t="s">
        <v>24</v>
      </c>
      <c r="B68" s="41" t="s">
        <v>25</v>
      </c>
      <c r="C68" s="41"/>
      <c r="D68" s="14">
        <f>D50</f>
        <v>974.92</v>
      </c>
    </row>
    <row r="69" spans="1:5" x14ac:dyDescent="0.2">
      <c r="A69" s="33" t="s">
        <v>39</v>
      </c>
      <c r="B69" s="41" t="s">
        <v>40</v>
      </c>
      <c r="C69" s="41"/>
      <c r="D69" s="14">
        <f>D61</f>
        <v>577.39640000000009</v>
      </c>
    </row>
    <row r="70" spans="1:5" x14ac:dyDescent="0.2">
      <c r="A70" s="40" t="s">
        <v>16</v>
      </c>
      <c r="B70" s="40"/>
      <c r="C70" s="40"/>
      <c r="D70" s="19">
        <f>SUM(D67:D69)</f>
        <v>1983.4964</v>
      </c>
    </row>
    <row r="71" spans="1:5" x14ac:dyDescent="0.2">
      <c r="A71" s="4"/>
      <c r="E71" s="18"/>
    </row>
    <row r="73" spans="1:5" x14ac:dyDescent="0.2">
      <c r="A73" s="43" t="s">
        <v>45</v>
      </c>
      <c r="B73" s="43"/>
      <c r="C73" s="43"/>
      <c r="D73" s="43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49" t="s">
        <v>46</v>
      </c>
      <c r="C75" s="49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9.09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0.72</v>
      </c>
    </row>
    <row r="78" spans="1:5" x14ac:dyDescent="0.2">
      <c r="A78" s="33" t="s">
        <v>8</v>
      </c>
      <c r="B78" s="10" t="s">
        <v>103</v>
      </c>
      <c r="C78" s="9">
        <f>TRUNC(8%*5%*40%,4)</f>
        <v>1.6000000000000001E-3</v>
      </c>
      <c r="D78" s="13">
        <f>TRUNC($D$26*C78,2)</f>
        <v>3.54</v>
      </c>
    </row>
    <row r="79" spans="1:5" x14ac:dyDescent="0.2">
      <c r="A79" s="33" t="s">
        <v>10</v>
      </c>
      <c r="B79" s="10" t="s">
        <v>49</v>
      </c>
      <c r="C79" s="9">
        <f>TRUNC(((7/30)/12)*95%,4)</f>
        <v>1.84E-2</v>
      </c>
      <c r="D79" s="13">
        <f>TRUNC($D$26*C79,2)</f>
        <v>40.81</v>
      </c>
    </row>
    <row r="80" spans="1:5" ht="25.5" x14ac:dyDescent="0.2">
      <c r="A80" s="33" t="s">
        <v>12</v>
      </c>
      <c r="B80" s="10" t="s">
        <v>93</v>
      </c>
      <c r="C80" s="9">
        <f>C50</f>
        <v>0.36800000000000005</v>
      </c>
      <c r="D80" s="13">
        <f>TRUNC(D79*C80,2)</f>
        <v>15.01</v>
      </c>
    </row>
    <row r="81" spans="1:4" x14ac:dyDescent="0.2">
      <c r="A81" s="33" t="s">
        <v>32</v>
      </c>
      <c r="B81" s="10" t="s">
        <v>104</v>
      </c>
      <c r="C81" s="9">
        <f>TRUNC(8%*95%*40%,4)</f>
        <v>3.04E-2</v>
      </c>
      <c r="D81" s="13">
        <f t="shared" ref="D81" si="1">TRUNC($D$26*C81,2)</f>
        <v>67.42</v>
      </c>
    </row>
    <row r="82" spans="1:4" x14ac:dyDescent="0.2">
      <c r="A82" s="47" t="s">
        <v>16</v>
      </c>
      <c r="B82" s="48"/>
      <c r="C82" s="51"/>
      <c r="D82" s="19">
        <f>SUM(D76:D81)</f>
        <v>136.59</v>
      </c>
    </row>
    <row r="85" spans="1:4" x14ac:dyDescent="0.2">
      <c r="A85" s="43" t="s">
        <v>50</v>
      </c>
      <c r="B85" s="43"/>
      <c r="C85" s="43"/>
      <c r="D85" s="43"/>
    </row>
    <row r="88" spans="1:4" x14ac:dyDescent="0.2">
      <c r="A88" s="50" t="s">
        <v>77</v>
      </c>
      <c r="B88" s="50"/>
      <c r="C88" s="50"/>
      <c r="D88" s="50"/>
    </row>
    <row r="89" spans="1:4" x14ac:dyDescent="0.2">
      <c r="A89" s="3"/>
    </row>
    <row r="90" spans="1:4" x14ac:dyDescent="0.2">
      <c r="A90" s="31" t="s">
        <v>51</v>
      </c>
      <c r="B90" s="49" t="s">
        <v>78</v>
      </c>
      <c r="C90" s="49"/>
      <c r="D90" s="31" t="s">
        <v>3</v>
      </c>
    </row>
    <row r="91" spans="1:4" x14ac:dyDescent="0.2">
      <c r="A91" s="33" t="s">
        <v>4</v>
      </c>
      <c r="B91" s="30" t="s">
        <v>79</v>
      </c>
      <c r="C91" s="9">
        <f>TRUNC(((1+1/3)/12)/12,4)</f>
        <v>9.1999999999999998E-3</v>
      </c>
      <c r="D91" s="13">
        <f>TRUNC(($D$26+$D$70+$D$82)*C91,2)</f>
        <v>39.909999999999997</v>
      </c>
    </row>
    <row r="92" spans="1:4" x14ac:dyDescent="0.2">
      <c r="A92" s="33" t="s">
        <v>6</v>
      </c>
      <c r="B92" s="30" t="s">
        <v>80</v>
      </c>
      <c r="C92" s="9">
        <f>TRUNC(((2/30)/12),4)</f>
        <v>5.4999999999999997E-3</v>
      </c>
      <c r="D92" s="13">
        <f t="shared" ref="D92:D96" si="2">TRUNC(($D$26+$D$70+$D$82)*C92,2)</f>
        <v>23.85</v>
      </c>
    </row>
    <row r="93" spans="1:4" x14ac:dyDescent="0.2">
      <c r="A93" s="33" t="s">
        <v>8</v>
      </c>
      <c r="B93" s="30" t="s">
        <v>81</v>
      </c>
      <c r="C93" s="9">
        <f>TRUNC(((5/30)/12)*2%,4)</f>
        <v>2.0000000000000001E-4</v>
      </c>
      <c r="D93" s="13">
        <f t="shared" si="2"/>
        <v>0.86</v>
      </c>
    </row>
    <row r="94" spans="1:4" x14ac:dyDescent="0.2">
      <c r="A94" s="33" t="s">
        <v>10</v>
      </c>
      <c r="B94" s="30" t="s">
        <v>82</v>
      </c>
      <c r="C94" s="9">
        <f>TRUNC(((15/30)/12)*8%,4)</f>
        <v>3.3E-3</v>
      </c>
      <c r="D94" s="13">
        <f t="shared" si="2"/>
        <v>14.31</v>
      </c>
    </row>
    <row r="95" spans="1:4" x14ac:dyDescent="0.2">
      <c r="A95" s="33" t="s">
        <v>12</v>
      </c>
      <c r="B95" s="30" t="s">
        <v>83</v>
      </c>
      <c r="C95" s="9">
        <f>((1+1/3)/12)*3%*(4/12)</f>
        <v>1.1111111111111109E-3</v>
      </c>
      <c r="D95" s="13">
        <f t="shared" si="2"/>
        <v>4.82</v>
      </c>
    </row>
    <row r="96" spans="1:4" x14ac:dyDescent="0.2">
      <c r="A96" s="33" t="s">
        <v>32</v>
      </c>
      <c r="B96" s="30" t="s">
        <v>84</v>
      </c>
      <c r="C96" s="9"/>
      <c r="D96" s="13">
        <f t="shared" si="2"/>
        <v>0</v>
      </c>
    </row>
    <row r="97" spans="1:6" x14ac:dyDescent="0.2">
      <c r="A97" s="40" t="s">
        <v>37</v>
      </c>
      <c r="B97" s="40"/>
      <c r="C97" s="40"/>
      <c r="D97" s="19">
        <f>SUM(D91:D96)</f>
        <v>83.75</v>
      </c>
      <c r="E97" s="17"/>
      <c r="F97" s="17"/>
    </row>
    <row r="100" spans="1:6" x14ac:dyDescent="0.2">
      <c r="A100" s="50" t="s">
        <v>85</v>
      </c>
      <c r="B100" s="50"/>
      <c r="C100" s="50"/>
      <c r="D100" s="50"/>
    </row>
    <row r="101" spans="1:6" x14ac:dyDescent="0.2">
      <c r="A101" s="3"/>
    </row>
    <row r="102" spans="1:6" x14ac:dyDescent="0.2">
      <c r="A102" s="31" t="s">
        <v>52</v>
      </c>
      <c r="B102" s="49" t="s">
        <v>86</v>
      </c>
      <c r="C102" s="49"/>
      <c r="D102" s="31" t="s">
        <v>3</v>
      </c>
    </row>
    <row r="103" spans="1:6" x14ac:dyDescent="0.2">
      <c r="A103" s="33" t="s">
        <v>4</v>
      </c>
      <c r="B103" s="44" t="s">
        <v>87</v>
      </c>
      <c r="C103" s="45"/>
      <c r="D103" s="13">
        <f>((D26+D70+D82)/220)*22*0</f>
        <v>0</v>
      </c>
    </row>
    <row r="104" spans="1:6" x14ac:dyDescent="0.2">
      <c r="A104" s="40" t="s">
        <v>16</v>
      </c>
      <c r="B104" s="40"/>
      <c r="C104" s="40"/>
      <c r="D104" s="19">
        <f>SUM(D103)</f>
        <v>0</v>
      </c>
    </row>
    <row r="107" spans="1:6" x14ac:dyDescent="0.2">
      <c r="A107" s="50" t="s">
        <v>53</v>
      </c>
      <c r="B107" s="50"/>
      <c r="C107" s="50"/>
      <c r="D107" s="50"/>
    </row>
    <row r="108" spans="1:6" x14ac:dyDescent="0.2">
      <c r="A108" s="3"/>
    </row>
    <row r="109" spans="1:6" x14ac:dyDescent="0.2">
      <c r="A109" s="31">
        <v>4</v>
      </c>
      <c r="B109" s="40" t="s">
        <v>54</v>
      </c>
      <c r="C109" s="40"/>
      <c r="D109" s="31" t="s">
        <v>3</v>
      </c>
    </row>
    <row r="110" spans="1:6" x14ac:dyDescent="0.2">
      <c r="A110" s="33" t="s">
        <v>51</v>
      </c>
      <c r="B110" s="41" t="s">
        <v>78</v>
      </c>
      <c r="C110" s="41"/>
      <c r="D110" s="14">
        <f>D97</f>
        <v>83.75</v>
      </c>
    </row>
    <row r="111" spans="1:6" x14ac:dyDescent="0.2">
      <c r="A111" s="33" t="s">
        <v>52</v>
      </c>
      <c r="B111" s="41" t="s">
        <v>86</v>
      </c>
      <c r="C111" s="41"/>
      <c r="D111" s="14">
        <f>D104</f>
        <v>0</v>
      </c>
    </row>
    <row r="112" spans="1:6" x14ac:dyDescent="0.2">
      <c r="A112" s="40" t="s">
        <v>16</v>
      </c>
      <c r="B112" s="40"/>
      <c r="C112" s="40"/>
      <c r="D112" s="19">
        <f>SUM(D110:D111)</f>
        <v>83.75</v>
      </c>
    </row>
    <row r="115" spans="1:4" x14ac:dyDescent="0.2">
      <c r="A115" s="43" t="s">
        <v>55</v>
      </c>
      <c r="B115" s="43"/>
      <c r="C115" s="43"/>
      <c r="D115" s="43"/>
    </row>
    <row r="117" spans="1:4" x14ac:dyDescent="0.2">
      <c r="A117" s="31">
        <v>5</v>
      </c>
      <c r="B117" s="46" t="s">
        <v>56</v>
      </c>
      <c r="C117" s="46"/>
      <c r="D117" s="31" t="s">
        <v>3</v>
      </c>
    </row>
    <row r="118" spans="1:4" x14ac:dyDescent="0.2">
      <c r="A118" s="33" t="s">
        <v>4</v>
      </c>
      <c r="B118" s="30" t="s">
        <v>57</v>
      </c>
      <c r="C118" s="30"/>
      <c r="D118" s="13">
        <v>83.76</v>
      </c>
    </row>
    <row r="119" spans="1:4" x14ac:dyDescent="0.2">
      <c r="A119" s="33" t="s">
        <v>6</v>
      </c>
      <c r="B119" s="30" t="s">
        <v>58</v>
      </c>
      <c r="C119" s="30"/>
      <c r="D119" s="13"/>
    </row>
    <row r="120" spans="1:4" x14ac:dyDescent="0.2">
      <c r="A120" s="33" t="s">
        <v>8</v>
      </c>
      <c r="B120" s="30" t="s">
        <v>59</v>
      </c>
      <c r="C120" s="30"/>
      <c r="D120" s="13"/>
    </row>
    <row r="121" spans="1:4" x14ac:dyDescent="0.2">
      <c r="A121" s="33" t="s">
        <v>10</v>
      </c>
      <c r="B121" s="30" t="s">
        <v>15</v>
      </c>
      <c r="C121" s="30"/>
      <c r="D121" s="13"/>
    </row>
    <row r="122" spans="1:4" x14ac:dyDescent="0.2">
      <c r="A122" s="40" t="s">
        <v>37</v>
      </c>
      <c r="B122" s="40"/>
      <c r="C122" s="40"/>
      <c r="D122" s="20">
        <f>SUM(D118:D121)</f>
        <v>83.76</v>
      </c>
    </row>
    <row r="125" spans="1:4" x14ac:dyDescent="0.2">
      <c r="A125" s="43" t="s">
        <v>60</v>
      </c>
      <c r="B125" s="43"/>
      <c r="C125" s="43"/>
      <c r="D125" s="43"/>
    </row>
    <row r="127" spans="1:4" x14ac:dyDescent="0.2">
      <c r="A127" s="31">
        <v>6</v>
      </c>
      <c r="B127" s="32" t="s">
        <v>61</v>
      </c>
      <c r="C127" s="31" t="s">
        <v>26</v>
      </c>
      <c r="D127" s="31" t="s">
        <v>3</v>
      </c>
    </row>
    <row r="128" spans="1:4" x14ac:dyDescent="0.2">
      <c r="A128" s="33" t="s">
        <v>4</v>
      </c>
      <c r="B128" s="30" t="s">
        <v>62</v>
      </c>
      <c r="C128" s="9">
        <v>0.05</v>
      </c>
      <c r="D128" s="14">
        <f>TRUNC(D148*C128,2)</f>
        <v>225.28</v>
      </c>
    </row>
    <row r="129" spans="1:4" x14ac:dyDescent="0.2">
      <c r="A129" s="33" t="s">
        <v>6</v>
      </c>
      <c r="B129" s="30" t="s">
        <v>63</v>
      </c>
      <c r="C129" s="9">
        <v>0.06</v>
      </c>
      <c r="D129" s="13">
        <f>TRUNC((D148+D128)*C129,2)</f>
        <v>283.85000000000002</v>
      </c>
    </row>
    <row r="130" spans="1:4" x14ac:dyDescent="0.2">
      <c r="A130" s="33" t="s">
        <v>8</v>
      </c>
      <c r="B130" s="30" t="s">
        <v>64</v>
      </c>
      <c r="C130" s="12">
        <f>SUM(C131:C136)</f>
        <v>8.6499999999999994E-2</v>
      </c>
      <c r="D130" s="13">
        <f>TRUNC((D148+D128+D129)*C130/(1-C130),2)</f>
        <v>474.85</v>
      </c>
    </row>
    <row r="131" spans="1:4" x14ac:dyDescent="0.2">
      <c r="A131" s="33"/>
      <c r="B131" s="30" t="s">
        <v>65</v>
      </c>
      <c r="C131" s="9"/>
      <c r="D131" s="14">
        <f>$D$150*C131</f>
        <v>0</v>
      </c>
    </row>
    <row r="132" spans="1:4" x14ac:dyDescent="0.2">
      <c r="A132" s="33"/>
      <c r="B132" s="30" t="s">
        <v>95</v>
      </c>
      <c r="C132" s="9">
        <v>6.4999999999999997E-3</v>
      </c>
      <c r="D132" s="14">
        <f t="shared" ref="D132:D136" si="3">$D$150*C132</f>
        <v>35.682594999999999</v>
      </c>
    </row>
    <row r="133" spans="1:4" x14ac:dyDescent="0.2">
      <c r="A133" s="33"/>
      <c r="B133" s="30" t="s">
        <v>96</v>
      </c>
      <c r="C133" s="9">
        <v>0.03</v>
      </c>
      <c r="D133" s="14">
        <f t="shared" si="3"/>
        <v>164.68889999999999</v>
      </c>
    </row>
    <row r="134" spans="1:4" x14ac:dyDescent="0.2">
      <c r="A134" s="33"/>
      <c r="B134" s="30" t="s">
        <v>66</v>
      </c>
      <c r="C134" s="33"/>
      <c r="D134" s="14">
        <f t="shared" si="3"/>
        <v>0</v>
      </c>
    </row>
    <row r="135" spans="1:4" x14ac:dyDescent="0.2">
      <c r="A135" s="33"/>
      <c r="B135" s="30" t="s">
        <v>67</v>
      </c>
      <c r="C135" s="9"/>
      <c r="D135" s="14">
        <f t="shared" si="3"/>
        <v>0</v>
      </c>
    </row>
    <row r="136" spans="1:4" x14ac:dyDescent="0.2">
      <c r="A136" s="33"/>
      <c r="B136" s="30" t="s">
        <v>97</v>
      </c>
      <c r="C136" s="9">
        <v>0.05</v>
      </c>
      <c r="D136" s="14">
        <f t="shared" si="3"/>
        <v>274.48150000000004</v>
      </c>
    </row>
    <row r="137" spans="1:4" ht="13.5" x14ac:dyDescent="0.2">
      <c r="A137" s="47" t="s">
        <v>37</v>
      </c>
      <c r="B137" s="48"/>
      <c r="C137" s="21">
        <f>(1+C129)*(1+C128)/(1-C130)-1</f>
        <v>0.21839080459770144</v>
      </c>
      <c r="D137" s="19">
        <f>TRUNC(SUM(D128:D130),2)</f>
        <v>983.98</v>
      </c>
    </row>
    <row r="140" spans="1:4" x14ac:dyDescent="0.2">
      <c r="A140" s="43" t="s">
        <v>68</v>
      </c>
      <c r="B140" s="43"/>
      <c r="C140" s="43"/>
      <c r="D140" s="43"/>
    </row>
    <row r="142" spans="1:4" x14ac:dyDescent="0.2">
      <c r="A142" s="31"/>
      <c r="B142" s="40" t="s">
        <v>69</v>
      </c>
      <c r="C142" s="40"/>
      <c r="D142" s="31" t="s">
        <v>3</v>
      </c>
    </row>
    <row r="143" spans="1:4" x14ac:dyDescent="0.2">
      <c r="A143" s="31" t="s">
        <v>4</v>
      </c>
      <c r="B143" s="41" t="s">
        <v>1</v>
      </c>
      <c r="C143" s="41"/>
      <c r="D143" s="22">
        <f>D26</f>
        <v>2218.06</v>
      </c>
    </row>
    <row r="144" spans="1:4" x14ac:dyDescent="0.2">
      <c r="A144" s="31" t="s">
        <v>6</v>
      </c>
      <c r="B144" s="41" t="s">
        <v>17</v>
      </c>
      <c r="C144" s="41"/>
      <c r="D144" s="22">
        <f>D70</f>
        <v>1983.4964</v>
      </c>
    </row>
    <row r="145" spans="1:4" x14ac:dyDescent="0.2">
      <c r="A145" s="31" t="s">
        <v>8</v>
      </c>
      <c r="B145" s="41" t="s">
        <v>45</v>
      </c>
      <c r="C145" s="41"/>
      <c r="D145" s="22">
        <f>D82</f>
        <v>136.59</v>
      </c>
    </row>
    <row r="146" spans="1:4" x14ac:dyDescent="0.2">
      <c r="A146" s="31" t="s">
        <v>10</v>
      </c>
      <c r="B146" s="41" t="s">
        <v>50</v>
      </c>
      <c r="C146" s="41"/>
      <c r="D146" s="22">
        <f>D112</f>
        <v>83.75</v>
      </c>
    </row>
    <row r="147" spans="1:4" x14ac:dyDescent="0.2">
      <c r="A147" s="31" t="s">
        <v>12</v>
      </c>
      <c r="B147" s="41" t="s">
        <v>55</v>
      </c>
      <c r="C147" s="41"/>
      <c r="D147" s="22">
        <f>D122</f>
        <v>83.76</v>
      </c>
    </row>
    <row r="148" spans="1:4" ht="12.75" customHeight="1" x14ac:dyDescent="0.2">
      <c r="A148" s="40" t="s">
        <v>94</v>
      </c>
      <c r="B148" s="40"/>
      <c r="C148" s="40"/>
      <c r="D148" s="23">
        <f>SUM(D143:D147)</f>
        <v>4505.6563999999998</v>
      </c>
    </row>
    <row r="149" spans="1:4" x14ac:dyDescent="0.2">
      <c r="A149" s="31" t="s">
        <v>32</v>
      </c>
      <c r="B149" s="41" t="s">
        <v>70</v>
      </c>
      <c r="C149" s="41"/>
      <c r="D149" s="24">
        <f>D137</f>
        <v>983.98</v>
      </c>
    </row>
    <row r="150" spans="1:4" ht="12.75" customHeight="1" x14ac:dyDescent="0.2">
      <c r="A150" s="40" t="s">
        <v>71</v>
      </c>
      <c r="B150" s="40"/>
      <c r="C150" s="40"/>
      <c r="D150" s="23">
        <f>TRUNC(SUM(D148:D149),2)</f>
        <v>5489.63</v>
      </c>
    </row>
  </sheetData>
  <mergeCells count="71">
    <mergeCell ref="B146:C146"/>
    <mergeCell ref="B147:C147"/>
    <mergeCell ref="A148:C148"/>
    <mergeCell ref="B149:C149"/>
    <mergeCell ref="A150:C150"/>
    <mergeCell ref="A137:B137"/>
    <mergeCell ref="A140:D140"/>
    <mergeCell ref="B142:C142"/>
    <mergeCell ref="B143:C143"/>
    <mergeCell ref="B144:C144"/>
    <mergeCell ref="B145:C145"/>
    <mergeCell ref="B111:C111"/>
    <mergeCell ref="A112:C112"/>
    <mergeCell ref="A115:D115"/>
    <mergeCell ref="B117:C117"/>
    <mergeCell ref="A122:C122"/>
    <mergeCell ref="A125:D125"/>
    <mergeCell ref="B102:C102"/>
    <mergeCell ref="B103:C103"/>
    <mergeCell ref="A104:C104"/>
    <mergeCell ref="A107:D107"/>
    <mergeCell ref="B109:C109"/>
    <mergeCell ref="B110:C110"/>
    <mergeCell ref="A82:C82"/>
    <mergeCell ref="A85:D85"/>
    <mergeCell ref="A88:D88"/>
    <mergeCell ref="B90:C90"/>
    <mergeCell ref="A97:C97"/>
    <mergeCell ref="A100:D100"/>
    <mergeCell ref="B67:C67"/>
    <mergeCell ref="B68:C68"/>
    <mergeCell ref="B69:C69"/>
    <mergeCell ref="A70:C70"/>
    <mergeCell ref="A73:D73"/>
    <mergeCell ref="B75:C75"/>
    <mergeCell ref="B58:C58"/>
    <mergeCell ref="B59:C59"/>
    <mergeCell ref="B60:C60"/>
    <mergeCell ref="A61:C61"/>
    <mergeCell ref="A64:D64"/>
    <mergeCell ref="B66:C66"/>
    <mergeCell ref="A39:D39"/>
    <mergeCell ref="A50:B50"/>
    <mergeCell ref="A53:D53"/>
    <mergeCell ref="B55:C55"/>
    <mergeCell ref="B56:C56"/>
    <mergeCell ref="B57:C57"/>
    <mergeCell ref="B25:C25"/>
    <mergeCell ref="A26:C26"/>
    <mergeCell ref="A29:D29"/>
    <mergeCell ref="A31:D31"/>
    <mergeCell ref="B33:C33"/>
    <mergeCell ref="A36:B36"/>
    <mergeCell ref="B19:C19"/>
    <mergeCell ref="B20:C20"/>
    <mergeCell ref="B21:C21"/>
    <mergeCell ref="B22:C22"/>
    <mergeCell ref="B23:C23"/>
    <mergeCell ref="B24:C24"/>
    <mergeCell ref="C11:D11"/>
    <mergeCell ref="C12:D12"/>
    <mergeCell ref="C13:D13"/>
    <mergeCell ref="C14:D14"/>
    <mergeCell ref="A16:D16"/>
    <mergeCell ref="B18:C18"/>
    <mergeCell ref="A1:D1"/>
    <mergeCell ref="A3:D3"/>
    <mergeCell ref="A5:B5"/>
    <mergeCell ref="A6:B6"/>
    <mergeCell ref="A8:D8"/>
    <mergeCell ref="C10:D10"/>
  </mergeCells>
  <pageMargins left="0.51181102362204722" right="0.51181102362204722" top="1.4960629921259843" bottom="0.78740157480314965" header="0.31496062992125984" footer="0.31496062992125984"/>
  <pageSetup paperSize="9" scale="84" fitToHeight="0" orientation="portrait" r:id="rId1"/>
  <headerFooter>
    <oddHeader>&amp;C&amp;G</oddHeader>
    <oddFooter>&amp;L&amp;"-,Negrito"Elaborado em &amp;D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opLeftCell="A16" zoomScaleNormal="100" workbookViewId="0">
      <selection activeCell="K34" sqref="K3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52" t="s">
        <v>0</v>
      </c>
      <c r="B1" s="52"/>
      <c r="C1" s="52"/>
      <c r="D1" s="52"/>
    </row>
    <row r="2" spans="1:4" ht="15.75" x14ac:dyDescent="0.25">
      <c r="A2" s="26"/>
      <c r="B2" s="26"/>
      <c r="C2" s="26"/>
      <c r="D2" s="26"/>
    </row>
    <row r="3" spans="1:4" x14ac:dyDescent="0.2">
      <c r="A3" s="42" t="s">
        <v>88</v>
      </c>
      <c r="B3" s="42"/>
      <c r="C3" s="42"/>
      <c r="D3" s="42"/>
    </row>
    <row r="4" spans="1:4" x14ac:dyDescent="0.2">
      <c r="A4" s="2"/>
      <c r="B4" s="2"/>
      <c r="C4" s="2"/>
      <c r="D4" s="2"/>
    </row>
    <row r="5" spans="1:4" ht="38.25" x14ac:dyDescent="0.2">
      <c r="A5" s="36" t="s">
        <v>89</v>
      </c>
      <c r="B5" s="36"/>
      <c r="C5" s="33" t="s">
        <v>90</v>
      </c>
      <c r="D5" s="27" t="s">
        <v>91</v>
      </c>
    </row>
    <row r="6" spans="1:4" s="35" customFormat="1" x14ac:dyDescent="0.25">
      <c r="A6" s="37" t="s">
        <v>108</v>
      </c>
      <c r="B6" s="37"/>
      <c r="C6" s="34" t="s">
        <v>98</v>
      </c>
      <c r="D6" s="34">
        <v>4</v>
      </c>
    </row>
    <row r="8" spans="1:4" x14ac:dyDescent="0.2">
      <c r="A8" s="42" t="s">
        <v>72</v>
      </c>
      <c r="B8" s="42"/>
      <c r="C8" s="42"/>
      <c r="D8" s="4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38" t="s">
        <v>105</v>
      </c>
      <c r="D10" s="39"/>
    </row>
    <row r="11" spans="1:4" x14ac:dyDescent="0.2">
      <c r="A11" s="5">
        <v>2</v>
      </c>
      <c r="B11" s="5" t="s">
        <v>92</v>
      </c>
      <c r="C11" s="38" t="s">
        <v>99</v>
      </c>
      <c r="D11" s="39"/>
    </row>
    <row r="12" spans="1:4" x14ac:dyDescent="0.2">
      <c r="A12" s="5">
        <v>3</v>
      </c>
      <c r="B12" s="5" t="s">
        <v>74</v>
      </c>
      <c r="C12" s="38"/>
      <c r="D12" s="39"/>
    </row>
    <row r="13" spans="1:4" x14ac:dyDescent="0.2">
      <c r="A13" s="5">
        <v>4</v>
      </c>
      <c r="B13" s="5" t="s">
        <v>75</v>
      </c>
      <c r="C13" s="38"/>
      <c r="D13" s="39"/>
    </row>
    <row r="14" spans="1:4" x14ac:dyDescent="0.2">
      <c r="A14" s="5">
        <v>5</v>
      </c>
      <c r="B14" s="5" t="s">
        <v>76</v>
      </c>
      <c r="C14" s="38"/>
      <c r="D14" s="39"/>
    </row>
    <row r="16" spans="1:4" x14ac:dyDescent="0.2">
      <c r="A16" s="42" t="s">
        <v>1</v>
      </c>
      <c r="B16" s="42"/>
      <c r="C16" s="42"/>
      <c r="D16" s="42"/>
    </row>
    <row r="18" spans="1:4" x14ac:dyDescent="0.2">
      <c r="A18" s="31">
        <v>1</v>
      </c>
      <c r="B18" s="40" t="s">
        <v>2</v>
      </c>
      <c r="C18" s="40"/>
      <c r="D18" s="31" t="s">
        <v>3</v>
      </c>
    </row>
    <row r="19" spans="1:4" x14ac:dyDescent="0.2">
      <c r="A19" s="33" t="s">
        <v>4</v>
      </c>
      <c r="B19" s="41" t="s">
        <v>5</v>
      </c>
      <c r="C19" s="41"/>
      <c r="D19" s="13">
        <f>ROUND(2044.27*1.3,2)</f>
        <v>2657.55</v>
      </c>
    </row>
    <row r="20" spans="1:4" x14ac:dyDescent="0.2">
      <c r="A20" s="33" t="s">
        <v>6</v>
      </c>
      <c r="B20" s="41" t="s">
        <v>7</v>
      </c>
      <c r="C20" s="41"/>
      <c r="D20" s="13"/>
    </row>
    <row r="21" spans="1:4" x14ac:dyDescent="0.2">
      <c r="A21" s="33" t="s">
        <v>8</v>
      </c>
      <c r="B21" s="41" t="s">
        <v>9</v>
      </c>
      <c r="C21" s="41"/>
      <c r="D21" s="13"/>
    </row>
    <row r="22" spans="1:4" x14ac:dyDescent="0.2">
      <c r="A22" s="33" t="s">
        <v>10</v>
      </c>
      <c r="B22" s="41" t="s">
        <v>11</v>
      </c>
      <c r="C22" s="41"/>
      <c r="D22" s="13"/>
    </row>
    <row r="23" spans="1:4" x14ac:dyDescent="0.2">
      <c r="A23" s="33" t="s">
        <v>12</v>
      </c>
      <c r="B23" s="41" t="s">
        <v>13</v>
      </c>
      <c r="C23" s="41"/>
      <c r="D23" s="13"/>
    </row>
    <row r="24" spans="1:4" x14ac:dyDescent="0.2">
      <c r="A24" s="33"/>
      <c r="B24" s="41"/>
      <c r="C24" s="41"/>
      <c r="D24" s="13"/>
    </row>
    <row r="25" spans="1:4" x14ac:dyDescent="0.2">
      <c r="A25" s="33" t="s">
        <v>14</v>
      </c>
      <c r="B25" s="41" t="s">
        <v>15</v>
      </c>
      <c r="C25" s="41"/>
      <c r="D25" s="13"/>
    </row>
    <row r="26" spans="1:4" x14ac:dyDescent="0.2">
      <c r="A26" s="40" t="s">
        <v>16</v>
      </c>
      <c r="B26" s="40"/>
      <c r="C26" s="40"/>
      <c r="D26" s="20">
        <f>SUM(D19:D25)</f>
        <v>2657.55</v>
      </c>
    </row>
    <row r="29" spans="1:4" x14ac:dyDescent="0.2">
      <c r="A29" s="43" t="s">
        <v>17</v>
      </c>
      <c r="B29" s="43"/>
      <c r="C29" s="43"/>
      <c r="D29" s="43"/>
    </row>
    <row r="30" spans="1:4" x14ac:dyDescent="0.2">
      <c r="A30" s="3"/>
    </row>
    <row r="31" spans="1:4" x14ac:dyDescent="0.2">
      <c r="A31" s="50" t="s">
        <v>18</v>
      </c>
      <c r="B31" s="50"/>
      <c r="C31" s="50"/>
      <c r="D31" s="50"/>
    </row>
    <row r="33" spans="1:4" x14ac:dyDescent="0.2">
      <c r="A33" s="31" t="s">
        <v>19</v>
      </c>
      <c r="B33" s="40" t="s">
        <v>20</v>
      </c>
      <c r="C33" s="40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221.37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295.25</v>
      </c>
    </row>
    <row r="36" spans="1:4" x14ac:dyDescent="0.2">
      <c r="A36" s="40" t="s">
        <v>16</v>
      </c>
      <c r="B36" s="40"/>
      <c r="C36" s="28">
        <f>SUM(C34:C35)</f>
        <v>0.19440000000000002</v>
      </c>
      <c r="D36" s="19">
        <f>SUM(D34:D35)</f>
        <v>516.62</v>
      </c>
    </row>
    <row r="39" spans="1:4" x14ac:dyDescent="0.2">
      <c r="A39" s="53" t="s">
        <v>23</v>
      </c>
      <c r="B39" s="53"/>
      <c r="C39" s="53"/>
      <c r="D39" s="53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634.83000000000004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50" si="0">TRUNC(($D$26+$D$36)*C43,2)</f>
        <v>79.349999999999994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95.22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47.61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31.74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19.04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6.34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253.93</v>
      </c>
    </row>
    <row r="50" spans="1:4" x14ac:dyDescent="0.2">
      <c r="A50" s="40" t="s">
        <v>37</v>
      </c>
      <c r="B50" s="40"/>
      <c r="C50" s="15">
        <f>SUM(C42:C49)</f>
        <v>0.36800000000000005</v>
      </c>
      <c r="D50" s="20">
        <f t="shared" si="0"/>
        <v>1168.0899999999999</v>
      </c>
    </row>
    <row r="53" spans="1:4" x14ac:dyDescent="0.2">
      <c r="A53" s="50" t="s">
        <v>38</v>
      </c>
      <c r="B53" s="50"/>
      <c r="C53" s="50"/>
      <c r="D53" s="50"/>
    </row>
    <row r="55" spans="1:4" x14ac:dyDescent="0.2">
      <c r="A55" s="31" t="s">
        <v>39</v>
      </c>
      <c r="B55" s="49" t="s">
        <v>40</v>
      </c>
      <c r="C55" s="49"/>
      <c r="D55" s="31" t="s">
        <v>3</v>
      </c>
    </row>
    <row r="56" spans="1:4" x14ac:dyDescent="0.2">
      <c r="A56" s="33" t="s">
        <v>4</v>
      </c>
      <c r="B56" s="41" t="s">
        <v>41</v>
      </c>
      <c r="C56" s="41"/>
      <c r="D56" s="13">
        <f>(21.75*2*5.2)-(D19*0.06)</f>
        <v>66.747000000000014</v>
      </c>
    </row>
    <row r="57" spans="1:4" x14ac:dyDescent="0.2">
      <c r="A57" s="33" t="s">
        <v>6</v>
      </c>
      <c r="B57" s="41" t="s">
        <v>42</v>
      </c>
      <c r="C57" s="41"/>
      <c r="D57" s="13">
        <f>17*21.75*0.8</f>
        <v>295.8</v>
      </c>
    </row>
    <row r="58" spans="1:4" x14ac:dyDescent="0.2">
      <c r="A58" s="33" t="s">
        <v>8</v>
      </c>
      <c r="B58" s="41" t="s">
        <v>100</v>
      </c>
      <c r="C58" s="41"/>
      <c r="D58" s="13">
        <v>170</v>
      </c>
    </row>
    <row r="59" spans="1:4" x14ac:dyDescent="0.2">
      <c r="A59" s="33" t="s">
        <v>10</v>
      </c>
      <c r="B59" s="41" t="s">
        <v>101</v>
      </c>
      <c r="C59" s="41"/>
      <c r="D59" s="13">
        <v>14</v>
      </c>
    </row>
    <row r="60" spans="1:4" x14ac:dyDescent="0.2">
      <c r="A60" s="33" t="s">
        <v>12</v>
      </c>
      <c r="B60" s="41" t="s">
        <v>102</v>
      </c>
      <c r="C60" s="41"/>
      <c r="D60" s="13">
        <v>4.4800000000000004</v>
      </c>
    </row>
    <row r="61" spans="1:4" x14ac:dyDescent="0.2">
      <c r="A61" s="40" t="s">
        <v>16</v>
      </c>
      <c r="B61" s="40"/>
      <c r="C61" s="40"/>
      <c r="D61" s="19">
        <f>SUM(D56:D60)</f>
        <v>551.02700000000004</v>
      </c>
    </row>
    <row r="64" spans="1:4" x14ac:dyDescent="0.2">
      <c r="A64" s="50" t="s">
        <v>43</v>
      </c>
      <c r="B64" s="50"/>
      <c r="C64" s="50"/>
      <c r="D64" s="50"/>
    </row>
    <row r="66" spans="1:5" x14ac:dyDescent="0.2">
      <c r="A66" s="31">
        <v>2</v>
      </c>
      <c r="B66" s="49" t="s">
        <v>44</v>
      </c>
      <c r="C66" s="49"/>
      <c r="D66" s="31" t="s">
        <v>3</v>
      </c>
    </row>
    <row r="67" spans="1:5" x14ac:dyDescent="0.2">
      <c r="A67" s="33" t="s">
        <v>19</v>
      </c>
      <c r="B67" s="41" t="s">
        <v>20</v>
      </c>
      <c r="C67" s="41"/>
      <c r="D67" s="14">
        <f>D36</f>
        <v>516.62</v>
      </c>
    </row>
    <row r="68" spans="1:5" x14ac:dyDescent="0.2">
      <c r="A68" s="33" t="s">
        <v>24</v>
      </c>
      <c r="B68" s="41" t="s">
        <v>25</v>
      </c>
      <c r="C68" s="41"/>
      <c r="D68" s="14">
        <f>D50</f>
        <v>1168.0899999999999</v>
      </c>
    </row>
    <row r="69" spans="1:5" x14ac:dyDescent="0.2">
      <c r="A69" s="33" t="s">
        <v>39</v>
      </c>
      <c r="B69" s="41" t="s">
        <v>40</v>
      </c>
      <c r="C69" s="41"/>
      <c r="D69" s="14">
        <f>D61</f>
        <v>551.02700000000004</v>
      </c>
    </row>
    <row r="70" spans="1:5" x14ac:dyDescent="0.2">
      <c r="A70" s="40" t="s">
        <v>16</v>
      </c>
      <c r="B70" s="40"/>
      <c r="C70" s="40"/>
      <c r="D70" s="19">
        <f>SUM(D67:D69)</f>
        <v>2235.7370000000001</v>
      </c>
    </row>
    <row r="71" spans="1:5" x14ac:dyDescent="0.2">
      <c r="A71" s="4"/>
      <c r="E71" s="18"/>
    </row>
    <row r="73" spans="1:5" x14ac:dyDescent="0.2">
      <c r="A73" s="43" t="s">
        <v>45</v>
      </c>
      <c r="B73" s="43"/>
      <c r="C73" s="43"/>
      <c r="D73" s="43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49" t="s">
        <v>46</v>
      </c>
      <c r="C75" s="49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103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49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93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104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47" t="s">
        <v>16</v>
      </c>
      <c r="B82" s="48"/>
      <c r="C82" s="51"/>
      <c r="D82" s="19">
        <f>SUM(D76:D81)</f>
        <v>0</v>
      </c>
    </row>
    <row r="85" spans="1:4" x14ac:dyDescent="0.2">
      <c r="A85" s="43" t="s">
        <v>50</v>
      </c>
      <c r="B85" s="43"/>
      <c r="C85" s="43"/>
      <c r="D85" s="43"/>
    </row>
    <row r="88" spans="1:4" x14ac:dyDescent="0.2">
      <c r="A88" s="50" t="s">
        <v>77</v>
      </c>
      <c r="B88" s="50"/>
      <c r="C88" s="50"/>
      <c r="D88" s="50"/>
    </row>
    <row r="89" spans="1:4" x14ac:dyDescent="0.2">
      <c r="A89" s="3"/>
    </row>
    <row r="90" spans="1:4" x14ac:dyDescent="0.2">
      <c r="A90" s="31" t="s">
        <v>51</v>
      </c>
      <c r="B90" s="49" t="s">
        <v>78</v>
      </c>
      <c r="C90" s="49"/>
      <c r="D90" s="31" t="s">
        <v>3</v>
      </c>
    </row>
    <row r="91" spans="1:4" x14ac:dyDescent="0.2">
      <c r="A91" s="33" t="s">
        <v>4</v>
      </c>
      <c r="B91" s="30" t="s">
        <v>79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80</v>
      </c>
      <c r="C92" s="9">
        <f>TRUNC(((2/30)/12),4)</f>
        <v>5.4999999999999997E-3</v>
      </c>
      <c r="D92" s="13">
        <f t="shared" ref="D92:D96" si="2">TRUNC(($D$26+$D$70+$D$82)*C92,2)</f>
        <v>26.91</v>
      </c>
    </row>
    <row r="93" spans="1:4" x14ac:dyDescent="0.2">
      <c r="A93" s="33" t="s">
        <v>8</v>
      </c>
      <c r="B93" s="30" t="s">
        <v>81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82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83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84</v>
      </c>
      <c r="C96" s="9"/>
      <c r="D96" s="13">
        <f t="shared" si="2"/>
        <v>0</v>
      </c>
    </row>
    <row r="97" spans="1:6" x14ac:dyDescent="0.2">
      <c r="A97" s="40" t="s">
        <v>37</v>
      </c>
      <c r="B97" s="40"/>
      <c r="C97" s="40"/>
      <c r="D97" s="19">
        <f>SUM(D91:D96)</f>
        <v>26.91</v>
      </c>
      <c r="E97" s="17"/>
      <c r="F97" s="17"/>
    </row>
    <row r="100" spans="1:6" x14ac:dyDescent="0.2">
      <c r="A100" s="50" t="s">
        <v>85</v>
      </c>
      <c r="B100" s="50"/>
      <c r="C100" s="50"/>
      <c r="D100" s="50"/>
    </row>
    <row r="101" spans="1:6" x14ac:dyDescent="0.2">
      <c r="A101" s="3"/>
    </row>
    <row r="102" spans="1:6" x14ac:dyDescent="0.2">
      <c r="A102" s="31" t="s">
        <v>52</v>
      </c>
      <c r="B102" s="49" t="s">
        <v>86</v>
      </c>
      <c r="C102" s="49"/>
      <c r="D102" s="31" t="s">
        <v>3</v>
      </c>
    </row>
    <row r="103" spans="1:6" x14ac:dyDescent="0.2">
      <c r="A103" s="33" t="s">
        <v>4</v>
      </c>
      <c r="B103" s="44" t="s">
        <v>87</v>
      </c>
      <c r="C103" s="45"/>
      <c r="D103" s="13">
        <f>((D26+D70+D82)/220)*22*0</f>
        <v>0</v>
      </c>
    </row>
    <row r="104" spans="1:6" x14ac:dyDescent="0.2">
      <c r="A104" s="40" t="s">
        <v>16</v>
      </c>
      <c r="B104" s="40"/>
      <c r="C104" s="40"/>
      <c r="D104" s="19">
        <f>SUM(D103)</f>
        <v>0</v>
      </c>
    </row>
    <row r="107" spans="1:6" x14ac:dyDescent="0.2">
      <c r="A107" s="50" t="s">
        <v>53</v>
      </c>
      <c r="B107" s="50"/>
      <c r="C107" s="50"/>
      <c r="D107" s="50"/>
    </row>
    <row r="108" spans="1:6" x14ac:dyDescent="0.2">
      <c r="A108" s="3"/>
    </row>
    <row r="109" spans="1:6" x14ac:dyDescent="0.2">
      <c r="A109" s="31">
        <v>4</v>
      </c>
      <c r="B109" s="40" t="s">
        <v>54</v>
      </c>
      <c r="C109" s="40"/>
      <c r="D109" s="31" t="s">
        <v>3</v>
      </c>
    </row>
    <row r="110" spans="1:6" x14ac:dyDescent="0.2">
      <c r="A110" s="33" t="s">
        <v>51</v>
      </c>
      <c r="B110" s="41" t="s">
        <v>78</v>
      </c>
      <c r="C110" s="41"/>
      <c r="D110" s="14">
        <f>D97</f>
        <v>26.91</v>
      </c>
    </row>
    <row r="111" spans="1:6" x14ac:dyDescent="0.2">
      <c r="A111" s="33" t="s">
        <v>52</v>
      </c>
      <c r="B111" s="41" t="s">
        <v>86</v>
      </c>
      <c r="C111" s="41"/>
      <c r="D111" s="14">
        <f>D104</f>
        <v>0</v>
      </c>
    </row>
    <row r="112" spans="1:6" x14ac:dyDescent="0.2">
      <c r="A112" s="40" t="s">
        <v>16</v>
      </c>
      <c r="B112" s="40"/>
      <c r="C112" s="40"/>
      <c r="D112" s="19">
        <f>SUM(D110:D111)</f>
        <v>26.91</v>
      </c>
    </row>
    <row r="115" spans="1:4" x14ac:dyDescent="0.2">
      <c r="A115" s="43" t="s">
        <v>55</v>
      </c>
      <c r="B115" s="43"/>
      <c r="C115" s="43"/>
      <c r="D115" s="43"/>
    </row>
    <row r="117" spans="1:4" x14ac:dyDescent="0.2">
      <c r="A117" s="31">
        <v>5</v>
      </c>
      <c r="B117" s="46" t="s">
        <v>56</v>
      </c>
      <c r="C117" s="46"/>
      <c r="D117" s="31" t="s">
        <v>3</v>
      </c>
    </row>
    <row r="118" spans="1:4" x14ac:dyDescent="0.2">
      <c r="A118" s="33" t="s">
        <v>4</v>
      </c>
      <c r="B118" s="30" t="s">
        <v>57</v>
      </c>
      <c r="C118" s="30"/>
      <c r="D118" s="13">
        <v>142.61000000000001</v>
      </c>
    </row>
    <row r="119" spans="1:4" x14ac:dyDescent="0.2">
      <c r="A119" s="33" t="s">
        <v>6</v>
      </c>
      <c r="B119" s="30" t="s">
        <v>58</v>
      </c>
      <c r="C119" s="30"/>
      <c r="D119" s="13"/>
    </row>
    <row r="120" spans="1:4" x14ac:dyDescent="0.2">
      <c r="A120" s="33" t="s">
        <v>8</v>
      </c>
      <c r="B120" s="30" t="s">
        <v>59</v>
      </c>
      <c r="C120" s="30"/>
      <c r="D120" s="13"/>
    </row>
    <row r="121" spans="1:4" x14ac:dyDescent="0.2">
      <c r="A121" s="33" t="s">
        <v>10</v>
      </c>
      <c r="B121" s="30" t="s">
        <v>15</v>
      </c>
      <c r="C121" s="30"/>
      <c r="D121" s="13"/>
    </row>
    <row r="122" spans="1:4" x14ac:dyDescent="0.2">
      <c r="A122" s="40" t="s">
        <v>37</v>
      </c>
      <c r="B122" s="40"/>
      <c r="C122" s="40"/>
      <c r="D122" s="20">
        <f>SUM(D118:D121)</f>
        <v>142.61000000000001</v>
      </c>
    </row>
    <row r="125" spans="1:4" x14ac:dyDescent="0.2">
      <c r="A125" s="43" t="s">
        <v>60</v>
      </c>
      <c r="B125" s="43"/>
      <c r="C125" s="43"/>
      <c r="D125" s="43"/>
    </row>
    <row r="127" spans="1:4" x14ac:dyDescent="0.2">
      <c r="A127" s="31">
        <v>6</v>
      </c>
      <c r="B127" s="32" t="s">
        <v>61</v>
      </c>
      <c r="C127" s="31" t="s">
        <v>26</v>
      </c>
      <c r="D127" s="31" t="s">
        <v>3</v>
      </c>
    </row>
    <row r="128" spans="1:4" x14ac:dyDescent="0.2">
      <c r="A128" s="33" t="s">
        <v>4</v>
      </c>
      <c r="B128" s="30" t="s">
        <v>62</v>
      </c>
      <c r="C128" s="9">
        <v>0.05</v>
      </c>
      <c r="D128" s="14">
        <f>D148*C128</f>
        <v>253.14035000000001</v>
      </c>
    </row>
    <row r="129" spans="1:4" x14ac:dyDescent="0.2">
      <c r="A129" s="33" t="s">
        <v>6</v>
      </c>
      <c r="B129" s="30" t="s">
        <v>63</v>
      </c>
      <c r="C129" s="9">
        <v>0.06</v>
      </c>
      <c r="D129" s="13">
        <f>(D148+D128)*C129</f>
        <v>318.95684099999994</v>
      </c>
    </row>
    <row r="130" spans="1:4" x14ac:dyDescent="0.2">
      <c r="A130" s="33" t="s">
        <v>8</v>
      </c>
      <c r="B130" s="30" t="s">
        <v>64</v>
      </c>
      <c r="C130" s="12">
        <f>SUM(C131:C136)</f>
        <v>8.6499999999999994E-2</v>
      </c>
      <c r="D130" s="13">
        <f>(D148+D128+D129)*C130/(1-C130)</f>
        <v>533.57330325287353</v>
      </c>
    </row>
    <row r="131" spans="1:4" x14ac:dyDescent="0.2">
      <c r="A131" s="33"/>
      <c r="B131" s="30" t="s">
        <v>65</v>
      </c>
      <c r="C131" s="9"/>
      <c r="D131" s="14">
        <f>$D$150*C131</f>
        <v>0</v>
      </c>
    </row>
    <row r="132" spans="1:4" x14ac:dyDescent="0.2">
      <c r="A132" s="33"/>
      <c r="B132" s="30" t="s">
        <v>95</v>
      </c>
      <c r="C132" s="9">
        <v>6.4999999999999997E-3</v>
      </c>
      <c r="D132" s="14">
        <f t="shared" ref="D132:D136" si="3">$D$150*C132</f>
        <v>40.095055000000002</v>
      </c>
    </row>
    <row r="133" spans="1:4" x14ac:dyDescent="0.2">
      <c r="A133" s="33"/>
      <c r="B133" s="30" t="s">
        <v>96</v>
      </c>
      <c r="C133" s="9">
        <v>0.03</v>
      </c>
      <c r="D133" s="14">
        <f t="shared" si="3"/>
        <v>185.05410000000001</v>
      </c>
    </row>
    <row r="134" spans="1:4" x14ac:dyDescent="0.2">
      <c r="A134" s="33"/>
      <c r="B134" s="30" t="s">
        <v>66</v>
      </c>
      <c r="C134" s="33"/>
      <c r="D134" s="14">
        <f t="shared" si="3"/>
        <v>0</v>
      </c>
    </row>
    <row r="135" spans="1:4" x14ac:dyDescent="0.2">
      <c r="A135" s="33"/>
      <c r="B135" s="30" t="s">
        <v>67</v>
      </c>
      <c r="C135" s="9"/>
      <c r="D135" s="14">
        <f t="shared" si="3"/>
        <v>0</v>
      </c>
    </row>
    <row r="136" spans="1:4" x14ac:dyDescent="0.2">
      <c r="A136" s="33"/>
      <c r="B136" s="30" t="s">
        <v>97</v>
      </c>
      <c r="C136" s="9">
        <v>0.05</v>
      </c>
      <c r="D136" s="14">
        <f t="shared" si="3"/>
        <v>308.42350000000005</v>
      </c>
    </row>
    <row r="137" spans="1:4" ht="13.5" x14ac:dyDescent="0.2">
      <c r="A137" s="47" t="s">
        <v>37</v>
      </c>
      <c r="B137" s="48"/>
      <c r="C137" s="21">
        <f>(1+C129)*(1+C128)/(1-C130)-1</f>
        <v>0.21839080459770144</v>
      </c>
      <c r="D137" s="19">
        <f>SUM(D128:D130)</f>
        <v>1105.6704942528736</v>
      </c>
    </row>
    <row r="140" spans="1:4" x14ac:dyDescent="0.2">
      <c r="A140" s="43" t="s">
        <v>68</v>
      </c>
      <c r="B140" s="43"/>
      <c r="C140" s="43"/>
      <c r="D140" s="43"/>
    </row>
    <row r="142" spans="1:4" x14ac:dyDescent="0.2">
      <c r="A142" s="31"/>
      <c r="B142" s="40" t="s">
        <v>69</v>
      </c>
      <c r="C142" s="40"/>
      <c r="D142" s="31" t="s">
        <v>3</v>
      </c>
    </row>
    <row r="143" spans="1:4" x14ac:dyDescent="0.2">
      <c r="A143" s="31" t="s">
        <v>4</v>
      </c>
      <c r="B143" s="41" t="s">
        <v>1</v>
      </c>
      <c r="C143" s="41"/>
      <c r="D143" s="22">
        <f>D26</f>
        <v>2657.55</v>
      </c>
    </row>
    <row r="144" spans="1:4" x14ac:dyDescent="0.2">
      <c r="A144" s="31" t="s">
        <v>6</v>
      </c>
      <c r="B144" s="41" t="s">
        <v>17</v>
      </c>
      <c r="C144" s="41"/>
      <c r="D144" s="22">
        <f>D70</f>
        <v>2235.7370000000001</v>
      </c>
    </row>
    <row r="145" spans="1:4" x14ac:dyDescent="0.2">
      <c r="A145" s="31" t="s">
        <v>8</v>
      </c>
      <c r="B145" s="41" t="s">
        <v>45</v>
      </c>
      <c r="C145" s="41"/>
      <c r="D145" s="22">
        <f>D82</f>
        <v>0</v>
      </c>
    </row>
    <row r="146" spans="1:4" x14ac:dyDescent="0.2">
      <c r="A146" s="31" t="s">
        <v>10</v>
      </c>
      <c r="B146" s="41" t="s">
        <v>50</v>
      </c>
      <c r="C146" s="41"/>
      <c r="D146" s="22">
        <f>D112</f>
        <v>26.91</v>
      </c>
    </row>
    <row r="147" spans="1:4" x14ac:dyDescent="0.2">
      <c r="A147" s="31" t="s">
        <v>12</v>
      </c>
      <c r="B147" s="41" t="s">
        <v>55</v>
      </c>
      <c r="C147" s="41"/>
      <c r="D147" s="22">
        <f>D122</f>
        <v>142.61000000000001</v>
      </c>
    </row>
    <row r="148" spans="1:4" x14ac:dyDescent="0.2">
      <c r="A148" s="40" t="s">
        <v>94</v>
      </c>
      <c r="B148" s="40"/>
      <c r="C148" s="40"/>
      <c r="D148" s="23">
        <f>SUM(D143:D147)</f>
        <v>5062.8069999999998</v>
      </c>
    </row>
    <row r="149" spans="1:4" x14ac:dyDescent="0.2">
      <c r="A149" s="31" t="s">
        <v>32</v>
      </c>
      <c r="B149" s="41" t="s">
        <v>70</v>
      </c>
      <c r="C149" s="41"/>
      <c r="D149" s="24">
        <f>D137</f>
        <v>1105.6704942528736</v>
      </c>
    </row>
    <row r="150" spans="1:4" x14ac:dyDescent="0.2">
      <c r="A150" s="40" t="s">
        <v>71</v>
      </c>
      <c r="B150" s="40"/>
      <c r="C150" s="40"/>
      <c r="D150" s="23">
        <f>TRUNC(SUM(D148:D149),2)</f>
        <v>6168.47</v>
      </c>
    </row>
  </sheetData>
  <mergeCells count="71">
    <mergeCell ref="B146:C146"/>
    <mergeCell ref="B147:C147"/>
    <mergeCell ref="A148:C148"/>
    <mergeCell ref="B149:C149"/>
    <mergeCell ref="A150:C150"/>
    <mergeCell ref="A137:B137"/>
    <mergeCell ref="A140:D140"/>
    <mergeCell ref="B142:C142"/>
    <mergeCell ref="B143:C143"/>
    <mergeCell ref="B144:C144"/>
    <mergeCell ref="B145:C145"/>
    <mergeCell ref="B111:C111"/>
    <mergeCell ref="A112:C112"/>
    <mergeCell ref="A115:D115"/>
    <mergeCell ref="B117:C117"/>
    <mergeCell ref="A122:C122"/>
    <mergeCell ref="A125:D125"/>
    <mergeCell ref="B102:C102"/>
    <mergeCell ref="B103:C103"/>
    <mergeCell ref="A104:C104"/>
    <mergeCell ref="A107:D107"/>
    <mergeCell ref="B109:C109"/>
    <mergeCell ref="B110:C110"/>
    <mergeCell ref="A82:C82"/>
    <mergeCell ref="A85:D85"/>
    <mergeCell ref="A88:D88"/>
    <mergeCell ref="B90:C90"/>
    <mergeCell ref="A97:C97"/>
    <mergeCell ref="A100:D100"/>
    <mergeCell ref="B67:C67"/>
    <mergeCell ref="B68:C68"/>
    <mergeCell ref="B69:C69"/>
    <mergeCell ref="A70:C70"/>
    <mergeCell ref="A73:D73"/>
    <mergeCell ref="B75:C75"/>
    <mergeCell ref="B58:C58"/>
    <mergeCell ref="B59:C59"/>
    <mergeCell ref="B60:C60"/>
    <mergeCell ref="A61:C61"/>
    <mergeCell ref="A64:D64"/>
    <mergeCell ref="B66:C66"/>
    <mergeCell ref="A39:D39"/>
    <mergeCell ref="A50:B50"/>
    <mergeCell ref="A53:D53"/>
    <mergeCell ref="B55:C55"/>
    <mergeCell ref="B56:C56"/>
    <mergeCell ref="B57:C57"/>
    <mergeCell ref="B25:C25"/>
    <mergeCell ref="A26:C26"/>
    <mergeCell ref="A29:D29"/>
    <mergeCell ref="A31:D31"/>
    <mergeCell ref="B33:C33"/>
    <mergeCell ref="A36:B36"/>
    <mergeCell ref="B19:C19"/>
    <mergeCell ref="B20:C20"/>
    <mergeCell ref="B21:C21"/>
    <mergeCell ref="B22:C22"/>
    <mergeCell ref="B23:C23"/>
    <mergeCell ref="B24:C24"/>
    <mergeCell ref="C11:D11"/>
    <mergeCell ref="C12:D12"/>
    <mergeCell ref="C13:D13"/>
    <mergeCell ref="C14:D14"/>
    <mergeCell ref="A16:D16"/>
    <mergeCell ref="B18:C18"/>
    <mergeCell ref="A1:D1"/>
    <mergeCell ref="A3:D3"/>
    <mergeCell ref="A5:B5"/>
    <mergeCell ref="A6:B6"/>
    <mergeCell ref="A8:D8"/>
    <mergeCell ref="C10:D10"/>
  </mergeCells>
  <pageMargins left="0.51181102362204722" right="0.51181102362204722" top="1.4960629921259843" bottom="0.78740157480314965" header="0.31496062992125984" footer="0.31496062992125984"/>
  <pageSetup paperSize="9" scale="84" fitToHeight="0" orientation="portrait" r:id="rId1"/>
  <headerFooter>
    <oddHeader>&amp;C&amp;G</oddHeader>
    <oddFooter>&amp;L&amp;"-,Negrito"Elaborado em 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zoomScaleNormal="100" zoomScaleSheetLayoutView="100" workbookViewId="0">
      <selection activeCell="K34" sqref="K34"/>
    </sheetView>
  </sheetViews>
  <sheetFormatPr defaultRowHeight="12.75" x14ac:dyDescent="0.2"/>
  <cols>
    <col min="1" max="1" width="30.7109375" style="1" customWidth="1"/>
    <col min="2" max="5" width="15.7109375" style="1" customWidth="1"/>
    <col min="6" max="16384" width="9.140625" style="1"/>
  </cols>
  <sheetData>
    <row r="1" spans="1:5" ht="14.25" x14ac:dyDescent="0.2">
      <c r="A1" s="76" t="s">
        <v>109</v>
      </c>
    </row>
    <row r="3" spans="1:5" x14ac:dyDescent="0.2">
      <c r="A3" s="63" t="s">
        <v>110</v>
      </c>
    </row>
    <row r="4" spans="1:5" x14ac:dyDescent="0.2">
      <c r="A4" s="68" t="s">
        <v>129</v>
      </c>
      <c r="B4" s="77" t="str">
        <f>motorista!A6</f>
        <v>Motorista de caminhão a partir de 25m3</v>
      </c>
      <c r="C4" s="78"/>
      <c r="D4" s="77" t="str">
        <f>supervisor!A6</f>
        <v>Supervisor de Transporte/Frota</v>
      </c>
      <c r="E4" s="78"/>
    </row>
    <row r="5" spans="1:5" x14ac:dyDescent="0.2">
      <c r="A5" s="55" t="s">
        <v>113</v>
      </c>
      <c r="B5" s="55"/>
      <c r="C5" s="57">
        <f>motorista!D26</f>
        <v>2657.55</v>
      </c>
      <c r="D5" s="56"/>
      <c r="E5" s="57">
        <f>supervisor!D26</f>
        <v>2218.06</v>
      </c>
    </row>
    <row r="6" spans="1:5" x14ac:dyDescent="0.2">
      <c r="A6" s="55" t="s">
        <v>111</v>
      </c>
      <c r="B6" s="61">
        <f>motorista!C36</f>
        <v>0.19440000000000002</v>
      </c>
      <c r="C6" s="57">
        <f>TRUNC(C5*B6,2)</f>
        <v>516.62</v>
      </c>
      <c r="D6" s="58">
        <f>supervisor!C36</f>
        <v>0.19440000000000002</v>
      </c>
      <c r="E6" s="57">
        <f>TRUNC(E5*D6,2)</f>
        <v>431.19</v>
      </c>
    </row>
    <row r="7" spans="1:5" x14ac:dyDescent="0.2">
      <c r="A7" s="55" t="s">
        <v>25</v>
      </c>
      <c r="B7" s="61">
        <f>motorista!C50</f>
        <v>0.36800000000000005</v>
      </c>
      <c r="C7" s="57">
        <f>TRUNC((C5+C6)*B7,2)</f>
        <v>1168.0899999999999</v>
      </c>
      <c r="D7" s="58">
        <f>supervisor!C50</f>
        <v>0.36800000000000005</v>
      </c>
      <c r="E7" s="57">
        <f>TRUNC((E5+E6)*D7,2)</f>
        <v>974.92</v>
      </c>
    </row>
    <row r="8" spans="1:5" x14ac:dyDescent="0.2">
      <c r="A8" s="55" t="s">
        <v>114</v>
      </c>
      <c r="B8" s="55"/>
      <c r="C8" s="57">
        <f>SUM(C5:C7)</f>
        <v>4342.26</v>
      </c>
      <c r="D8" s="56"/>
      <c r="E8" s="57">
        <f>SUM(E5:E7)</f>
        <v>3624.17</v>
      </c>
    </row>
    <row r="9" spans="1:5" x14ac:dyDescent="0.2">
      <c r="A9" s="55" t="s">
        <v>61</v>
      </c>
      <c r="B9" s="61">
        <f>motorista!C137</f>
        <v>0.21839080459770144</v>
      </c>
      <c r="C9" s="57">
        <f>TRUNC(C8*B9,2)</f>
        <v>948.3</v>
      </c>
      <c r="D9" s="58">
        <f>supervisor!C137</f>
        <v>0.21839080459770144</v>
      </c>
      <c r="E9" s="57">
        <f>TRUNC(E8*D9,2)</f>
        <v>791.48</v>
      </c>
    </row>
    <row r="10" spans="1:5" x14ac:dyDescent="0.2">
      <c r="A10" s="55" t="s">
        <v>115</v>
      </c>
      <c r="B10" s="55"/>
      <c r="C10" s="57">
        <f>SUM(C8:C9)</f>
        <v>5290.56</v>
      </c>
      <c r="D10" s="56"/>
      <c r="E10" s="57">
        <f>SUM(E8:E9)</f>
        <v>4415.6499999999996</v>
      </c>
    </row>
    <row r="11" spans="1:5" x14ac:dyDescent="0.2">
      <c r="A11" s="55" t="s">
        <v>116</v>
      </c>
      <c r="B11" s="55">
        <v>220</v>
      </c>
      <c r="C11" s="57">
        <f>TRUNC(C10/B11,2)</f>
        <v>24.04</v>
      </c>
      <c r="D11" s="56">
        <v>220</v>
      </c>
      <c r="E11" s="57">
        <f>TRUNC(E10/D11,2)</f>
        <v>20.07</v>
      </c>
    </row>
    <row r="12" spans="1:5" x14ac:dyDescent="0.2">
      <c r="A12" s="69" t="s">
        <v>117</v>
      </c>
      <c r="B12" s="70">
        <v>0.5</v>
      </c>
      <c r="C12" s="71">
        <f>ROUND(C11*(1+B12),2)</f>
        <v>36.06</v>
      </c>
      <c r="D12" s="72">
        <v>0.5</v>
      </c>
      <c r="E12" s="71">
        <f>ROUND(E11*(1+D12),2)</f>
        <v>30.11</v>
      </c>
    </row>
    <row r="13" spans="1:5" x14ac:dyDescent="0.2">
      <c r="A13" s="69" t="s">
        <v>118</v>
      </c>
      <c r="B13" s="70">
        <v>1</v>
      </c>
      <c r="C13" s="71">
        <f>ROUND(C11*(1+B13),2)</f>
        <v>48.08</v>
      </c>
      <c r="D13" s="72">
        <v>1</v>
      </c>
      <c r="E13" s="71">
        <f>ROUND(E11*(1+D13),2)</f>
        <v>40.14</v>
      </c>
    </row>
    <row r="14" spans="1:5" x14ac:dyDescent="0.2">
      <c r="A14" s="55" t="s">
        <v>125</v>
      </c>
      <c r="B14" s="62"/>
      <c r="C14" s="60">
        <f>5.2*2</f>
        <v>10.4</v>
      </c>
      <c r="D14" s="59"/>
      <c r="E14" s="60">
        <f>5.2*2</f>
        <v>10.4</v>
      </c>
    </row>
    <row r="15" spans="1:5" x14ac:dyDescent="0.2">
      <c r="A15" s="55" t="s">
        <v>61</v>
      </c>
      <c r="B15" s="61">
        <f>motorista!C137</f>
        <v>0.21839080459770144</v>
      </c>
      <c r="C15" s="57">
        <f>TRUNC(C14*B15,2)</f>
        <v>2.27</v>
      </c>
      <c r="D15" s="58">
        <f>supervisor!C137</f>
        <v>0.21839080459770144</v>
      </c>
      <c r="E15" s="57">
        <f>TRUNC(E14*D15,2)</f>
        <v>2.27</v>
      </c>
    </row>
    <row r="16" spans="1:5" x14ac:dyDescent="0.2">
      <c r="A16" s="69" t="s">
        <v>126</v>
      </c>
      <c r="B16" s="70"/>
      <c r="C16" s="71">
        <f>SUM(C14:C15)</f>
        <v>12.67</v>
      </c>
      <c r="D16" s="72"/>
      <c r="E16" s="71">
        <f>SUM(E14:E15)</f>
        <v>12.67</v>
      </c>
    </row>
    <row r="17" spans="1:5" x14ac:dyDescent="0.2">
      <c r="A17" s="55" t="s">
        <v>124</v>
      </c>
      <c r="B17" s="62"/>
      <c r="C17" s="60">
        <f>17*0.8</f>
        <v>13.600000000000001</v>
      </c>
      <c r="D17" s="59"/>
      <c r="E17" s="60">
        <f>17*0.8</f>
        <v>13.600000000000001</v>
      </c>
    </row>
    <row r="18" spans="1:5" x14ac:dyDescent="0.2">
      <c r="A18" s="55" t="s">
        <v>61</v>
      </c>
      <c r="B18" s="61">
        <f>motorista!C137</f>
        <v>0.21839080459770144</v>
      </c>
      <c r="C18" s="57">
        <f>TRUNC(C17*B18,2)</f>
        <v>2.97</v>
      </c>
      <c r="D18" s="58">
        <f>supervisor!C137</f>
        <v>0.21839080459770144</v>
      </c>
      <c r="E18" s="57">
        <f>TRUNC(E17*D18,2)</f>
        <v>2.97</v>
      </c>
    </row>
    <row r="19" spans="1:5" x14ac:dyDescent="0.2">
      <c r="A19" s="69" t="s">
        <v>127</v>
      </c>
      <c r="B19" s="70"/>
      <c r="C19" s="71">
        <f>SUM(C17:C18)</f>
        <v>16.57</v>
      </c>
      <c r="D19" s="72"/>
      <c r="E19" s="71">
        <f>SUM(E17:E18)</f>
        <v>16.57</v>
      </c>
    </row>
    <row r="21" spans="1:5" x14ac:dyDescent="0.2">
      <c r="A21" s="63" t="s">
        <v>128</v>
      </c>
    </row>
    <row r="22" spans="1:5" x14ac:dyDescent="0.2">
      <c r="A22" s="68" t="str">
        <f>A4</f>
        <v>Categoria Profissional</v>
      </c>
      <c r="B22" s="77" t="str">
        <f>B4</f>
        <v>Motorista de caminhão a partir de 25m3</v>
      </c>
      <c r="C22" s="78"/>
      <c r="D22" s="77" t="str">
        <f>D4</f>
        <v>Supervisor de Transporte/Frota</v>
      </c>
      <c r="E22" s="78"/>
    </row>
    <row r="23" spans="1:5" ht="13.5" x14ac:dyDescent="0.25">
      <c r="A23" s="75" t="s">
        <v>120</v>
      </c>
      <c r="B23" s="55">
        <v>135</v>
      </c>
      <c r="C23" s="57">
        <f>C12*B23</f>
        <v>4868.1000000000004</v>
      </c>
      <c r="D23" s="56">
        <v>8</v>
      </c>
      <c r="E23" s="57">
        <f>E12*D23</f>
        <v>240.88</v>
      </c>
    </row>
    <row r="24" spans="1:5" x14ac:dyDescent="0.2">
      <c r="A24" s="69" t="s">
        <v>130</v>
      </c>
      <c r="B24" s="69"/>
      <c r="C24" s="73">
        <f>C23</f>
        <v>4868.1000000000004</v>
      </c>
      <c r="D24" s="74"/>
      <c r="E24" s="73">
        <f>E23</f>
        <v>240.88</v>
      </c>
    </row>
    <row r="25" spans="1:5" ht="13.5" x14ac:dyDescent="0.25">
      <c r="A25" s="75" t="s">
        <v>121</v>
      </c>
      <c r="B25" s="55">
        <v>48</v>
      </c>
      <c r="C25" s="57">
        <f>C12*B25</f>
        <v>1730.88</v>
      </c>
      <c r="D25" s="56">
        <v>8</v>
      </c>
      <c r="E25" s="57">
        <f>E12*D25</f>
        <v>240.88</v>
      </c>
    </row>
    <row r="26" spans="1:5" x14ac:dyDescent="0.2">
      <c r="A26" s="55" t="s">
        <v>122</v>
      </c>
      <c r="B26" s="55">
        <v>6</v>
      </c>
      <c r="C26" s="57">
        <f>C16*B26</f>
        <v>76.02</v>
      </c>
      <c r="D26" s="56">
        <v>1</v>
      </c>
      <c r="E26" s="57">
        <f>E16*D26</f>
        <v>12.67</v>
      </c>
    </row>
    <row r="27" spans="1:5" x14ac:dyDescent="0.2">
      <c r="A27" s="55" t="s">
        <v>123</v>
      </c>
      <c r="B27" s="55">
        <v>6</v>
      </c>
      <c r="C27" s="57">
        <f>C19*B27</f>
        <v>99.42</v>
      </c>
      <c r="D27" s="56">
        <v>1</v>
      </c>
      <c r="E27" s="57">
        <f>E19*D27</f>
        <v>16.57</v>
      </c>
    </row>
    <row r="28" spans="1:5" x14ac:dyDescent="0.2">
      <c r="A28" s="69" t="s">
        <v>131</v>
      </c>
      <c r="B28" s="69"/>
      <c r="C28" s="73">
        <f>SUM(C25:C27)</f>
        <v>1906.3200000000002</v>
      </c>
      <c r="D28" s="74"/>
      <c r="E28" s="73">
        <f>SUM(E25:E27)</f>
        <v>270.12</v>
      </c>
    </row>
    <row r="29" spans="1:5" ht="13.5" x14ac:dyDescent="0.25">
      <c r="A29" s="75" t="s">
        <v>133</v>
      </c>
      <c r="B29" s="55">
        <v>48</v>
      </c>
      <c r="C29" s="57">
        <f>C13*B29</f>
        <v>2307.84</v>
      </c>
      <c r="D29" s="56">
        <v>8</v>
      </c>
      <c r="E29" s="57">
        <f>E13*D29</f>
        <v>321.12</v>
      </c>
    </row>
    <row r="30" spans="1:5" x14ac:dyDescent="0.2">
      <c r="A30" s="55" t="s">
        <v>122</v>
      </c>
      <c r="B30" s="55">
        <v>6</v>
      </c>
      <c r="C30" s="57">
        <f>C16*B30</f>
        <v>76.02</v>
      </c>
      <c r="D30" s="56">
        <v>1</v>
      </c>
      <c r="E30" s="57">
        <f>E16*D30</f>
        <v>12.67</v>
      </c>
    </row>
    <row r="31" spans="1:5" x14ac:dyDescent="0.2">
      <c r="A31" s="55" t="s">
        <v>123</v>
      </c>
      <c r="B31" s="55">
        <v>6</v>
      </c>
      <c r="C31" s="57">
        <f>C19*B31</f>
        <v>99.42</v>
      </c>
      <c r="D31" s="56">
        <v>1</v>
      </c>
      <c r="E31" s="57">
        <f>E19*D31</f>
        <v>16.57</v>
      </c>
    </row>
    <row r="32" spans="1:5" x14ac:dyDescent="0.2">
      <c r="A32" s="69" t="s">
        <v>132</v>
      </c>
      <c r="B32" s="69"/>
      <c r="C32" s="73">
        <f>SUM(C29:C31)</f>
        <v>2483.2800000000002</v>
      </c>
      <c r="D32" s="74"/>
      <c r="E32" s="73">
        <f>SUM(E29:E31)</f>
        <v>350.36</v>
      </c>
    </row>
    <row r="33" spans="1:5" x14ac:dyDescent="0.2">
      <c r="A33" s="55" t="s">
        <v>136</v>
      </c>
      <c r="B33" s="55"/>
      <c r="C33" s="57">
        <f>C24+C28+C32</f>
        <v>9257.7000000000007</v>
      </c>
      <c r="D33" s="56"/>
      <c r="E33" s="57">
        <f>E24+E28+E32</f>
        <v>861.36</v>
      </c>
    </row>
    <row r="34" spans="1:5" x14ac:dyDescent="0.2">
      <c r="A34" s="65" t="s">
        <v>135</v>
      </c>
      <c r="B34" s="67"/>
      <c r="C34" s="67"/>
      <c r="D34" s="67"/>
      <c r="E34" s="66">
        <f>C33+E33</f>
        <v>10119.060000000001</v>
      </c>
    </row>
    <row r="36" spans="1:5" x14ac:dyDescent="0.2">
      <c r="A36" s="63" t="s">
        <v>134</v>
      </c>
    </row>
    <row r="37" spans="1:5" x14ac:dyDescent="0.2">
      <c r="A37" s="68" t="str">
        <f>A4</f>
        <v>Categoria Profissional</v>
      </c>
      <c r="B37" s="77" t="str">
        <f>B4</f>
        <v>Motorista de caminhão a partir de 25m3</v>
      </c>
      <c r="C37" s="78"/>
      <c r="D37" s="77" t="str">
        <f>D4</f>
        <v>Supervisor de Transporte/Frota</v>
      </c>
      <c r="E37" s="78"/>
    </row>
    <row r="38" spans="1:5" ht="13.5" x14ac:dyDescent="0.25">
      <c r="A38" s="75" t="s">
        <v>120</v>
      </c>
      <c r="B38" s="55">
        <v>85</v>
      </c>
      <c r="C38" s="57">
        <f>C12*B38</f>
        <v>3065.1000000000004</v>
      </c>
      <c r="D38" s="56">
        <v>5</v>
      </c>
      <c r="E38" s="57">
        <f>E12*D38</f>
        <v>150.55000000000001</v>
      </c>
    </row>
    <row r="39" spans="1:5" x14ac:dyDescent="0.2">
      <c r="A39" s="69" t="s">
        <v>130</v>
      </c>
      <c r="B39" s="69"/>
      <c r="C39" s="73">
        <f>C38</f>
        <v>3065.1000000000004</v>
      </c>
      <c r="D39" s="74"/>
      <c r="E39" s="73">
        <f>E38</f>
        <v>150.55000000000001</v>
      </c>
    </row>
    <row r="40" spans="1:5" ht="13.5" x14ac:dyDescent="0.25">
      <c r="A40" s="75" t="s">
        <v>121</v>
      </c>
      <c r="B40" s="55">
        <v>30</v>
      </c>
      <c r="C40" s="57">
        <f>C12*B40</f>
        <v>1081.8000000000002</v>
      </c>
      <c r="D40" s="56">
        <v>5</v>
      </c>
      <c r="E40" s="57">
        <f>E12*D40</f>
        <v>150.55000000000001</v>
      </c>
    </row>
    <row r="41" spans="1:5" x14ac:dyDescent="0.2">
      <c r="A41" s="55" t="s">
        <v>122</v>
      </c>
      <c r="B41" s="55">
        <v>6</v>
      </c>
      <c r="C41" s="57">
        <f>C16*B41</f>
        <v>76.02</v>
      </c>
      <c r="D41" s="56">
        <v>1</v>
      </c>
      <c r="E41" s="57">
        <f>E16*D41</f>
        <v>12.67</v>
      </c>
    </row>
    <row r="42" spans="1:5" x14ac:dyDescent="0.2">
      <c r="A42" s="55" t="s">
        <v>123</v>
      </c>
      <c r="B42" s="55">
        <v>6</v>
      </c>
      <c r="C42" s="57">
        <f>C19*B42</f>
        <v>99.42</v>
      </c>
      <c r="D42" s="56">
        <v>1</v>
      </c>
      <c r="E42" s="57">
        <f>E19*D42</f>
        <v>16.57</v>
      </c>
    </row>
    <row r="43" spans="1:5" x14ac:dyDescent="0.2">
      <c r="A43" s="69" t="s">
        <v>131</v>
      </c>
      <c r="B43" s="69"/>
      <c r="C43" s="73">
        <f>SUM(C40:C42)</f>
        <v>1257.2400000000002</v>
      </c>
      <c r="D43" s="74"/>
      <c r="E43" s="73">
        <f>SUM(E40:E42)</f>
        <v>179.79</v>
      </c>
    </row>
    <row r="44" spans="1:5" ht="13.5" x14ac:dyDescent="0.25">
      <c r="A44" s="75" t="s">
        <v>133</v>
      </c>
      <c r="B44" s="55">
        <v>30</v>
      </c>
      <c r="C44" s="57">
        <f>C13*B44</f>
        <v>1442.3999999999999</v>
      </c>
      <c r="D44" s="56">
        <v>5</v>
      </c>
      <c r="E44" s="57">
        <f>E13*D44</f>
        <v>200.7</v>
      </c>
    </row>
    <row r="45" spans="1:5" x14ac:dyDescent="0.2">
      <c r="A45" s="55" t="s">
        <v>122</v>
      </c>
      <c r="B45" s="55">
        <v>6</v>
      </c>
      <c r="C45" s="57">
        <f>C16*B45</f>
        <v>76.02</v>
      </c>
      <c r="D45" s="56">
        <v>1</v>
      </c>
      <c r="E45" s="57">
        <f>E16*D45</f>
        <v>12.67</v>
      </c>
    </row>
    <row r="46" spans="1:5" x14ac:dyDescent="0.2">
      <c r="A46" s="55" t="s">
        <v>123</v>
      </c>
      <c r="B46" s="55">
        <v>6</v>
      </c>
      <c r="C46" s="57">
        <f>C19*B46</f>
        <v>99.42</v>
      </c>
      <c r="D46" s="56">
        <v>1</v>
      </c>
      <c r="E46" s="57">
        <f>E19*D46</f>
        <v>16.57</v>
      </c>
    </row>
    <row r="47" spans="1:5" x14ac:dyDescent="0.2">
      <c r="A47" s="69" t="s">
        <v>132</v>
      </c>
      <c r="B47" s="69"/>
      <c r="C47" s="73">
        <f>SUM(C44:C46)</f>
        <v>1617.84</v>
      </c>
      <c r="D47" s="74"/>
      <c r="E47" s="73">
        <f>SUM(E44:E46)</f>
        <v>229.93999999999997</v>
      </c>
    </row>
    <row r="48" spans="1:5" x14ac:dyDescent="0.2">
      <c r="A48" s="55" t="s">
        <v>136</v>
      </c>
      <c r="B48" s="55"/>
      <c r="C48" s="57">
        <f>C39+C43+C47</f>
        <v>5940.18</v>
      </c>
      <c r="D48" s="56"/>
      <c r="E48" s="57">
        <f>E39+E43+E47</f>
        <v>560.28</v>
      </c>
    </row>
    <row r="49" spans="1:5" x14ac:dyDescent="0.2">
      <c r="A49" s="65" t="s">
        <v>135</v>
      </c>
      <c r="B49" s="67"/>
      <c r="C49" s="67"/>
      <c r="D49" s="67"/>
      <c r="E49" s="66">
        <f>C48+E48</f>
        <v>6500.46</v>
      </c>
    </row>
  </sheetData>
  <mergeCells count="6">
    <mergeCell ref="B4:C4"/>
    <mergeCell ref="D4:E4"/>
    <mergeCell ref="B22:C22"/>
    <mergeCell ref="D22:E22"/>
    <mergeCell ref="B37:C37"/>
    <mergeCell ref="D37:E37"/>
  </mergeCells>
  <pageMargins left="0.51181102362204722" right="0.51181102362204722" top="1.4960629921259843" bottom="0.78740157480314965" header="0.31496062992125984" footer="0.31496062992125984"/>
  <pageSetup paperSize="9" scale="98" fitToHeight="0" orientation="portrait" r:id="rId1"/>
  <headerFooter>
    <oddHeader>&amp;C&amp;G</oddHeader>
    <oddFooter>&amp;L&amp;"-,Negrito"Elaborado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view="pageBreakPreview" zoomScaleNormal="100" zoomScaleSheetLayoutView="100" workbookViewId="0">
      <selection activeCell="K34" sqref="K34"/>
    </sheetView>
  </sheetViews>
  <sheetFormatPr defaultRowHeight="12.75" x14ac:dyDescent="0.2"/>
  <cols>
    <col min="1" max="1" width="30.7109375" style="1" customWidth="1"/>
    <col min="2" max="2" width="14.7109375" style="1" customWidth="1"/>
    <col min="3" max="3" width="14.7109375" style="54" customWidth="1"/>
    <col min="4" max="4" width="14.7109375" style="1" customWidth="1"/>
    <col min="5" max="5" width="14.7109375" style="54" customWidth="1"/>
    <col min="6" max="16384" width="9.140625" style="1"/>
  </cols>
  <sheetData>
    <row r="1" spans="1:5" ht="14.25" x14ac:dyDescent="0.2">
      <c r="A1" s="76" t="s">
        <v>137</v>
      </c>
    </row>
    <row r="3" spans="1:5" x14ac:dyDescent="0.2">
      <c r="A3" s="65" t="s">
        <v>134</v>
      </c>
      <c r="B3" s="79" t="s">
        <v>138</v>
      </c>
      <c r="C3" s="80"/>
      <c r="D3" s="81" t="s">
        <v>144</v>
      </c>
      <c r="E3" s="80"/>
    </row>
    <row r="4" spans="1:5" x14ac:dyDescent="0.2">
      <c r="A4" s="55" t="s">
        <v>139</v>
      </c>
      <c r="B4" s="55"/>
      <c r="C4" s="60">
        <v>125</v>
      </c>
      <c r="D4" s="56"/>
      <c r="E4" s="60">
        <v>250</v>
      </c>
    </row>
    <row r="5" spans="1:5" x14ac:dyDescent="0.2">
      <c r="A5" s="55" t="s">
        <v>143</v>
      </c>
      <c r="B5" s="55"/>
      <c r="C5" s="60">
        <v>0</v>
      </c>
      <c r="D5" s="56"/>
      <c r="E5" s="60">
        <f>5.2*2</f>
        <v>10.4</v>
      </c>
    </row>
    <row r="6" spans="1:5" x14ac:dyDescent="0.2">
      <c r="A6" s="55" t="s">
        <v>140</v>
      </c>
      <c r="B6" s="55"/>
      <c r="C6" s="60">
        <f>17*0.8</f>
        <v>13.600000000000001</v>
      </c>
      <c r="D6" s="56"/>
      <c r="E6" s="60">
        <f>17*0.8</f>
        <v>13.600000000000001</v>
      </c>
    </row>
    <row r="7" spans="1:5" x14ac:dyDescent="0.2">
      <c r="A7" s="55" t="s">
        <v>112</v>
      </c>
      <c r="B7" s="55"/>
      <c r="C7" s="60">
        <f>C4-C5-C6</f>
        <v>111.4</v>
      </c>
      <c r="D7" s="56"/>
      <c r="E7" s="60">
        <f>E4-E5-E6</f>
        <v>226</v>
      </c>
    </row>
    <row r="8" spans="1:5" x14ac:dyDescent="0.2">
      <c r="A8" s="55" t="s">
        <v>61</v>
      </c>
      <c r="B8" s="61">
        <f>motorista!C137</f>
        <v>0.21839080459770144</v>
      </c>
      <c r="C8" s="60">
        <f>TRUNC(C7*B8,2)</f>
        <v>24.32</v>
      </c>
      <c r="D8" s="58">
        <f>motorista!C137</f>
        <v>0.21839080459770144</v>
      </c>
      <c r="E8" s="60">
        <f>TRUNC(E7*D8,2)</f>
        <v>49.35</v>
      </c>
    </row>
    <row r="9" spans="1:5" x14ac:dyDescent="0.2">
      <c r="A9" s="65" t="s">
        <v>141</v>
      </c>
      <c r="B9" s="65"/>
      <c r="C9" s="64">
        <f>C7+C8</f>
        <v>135.72</v>
      </c>
      <c r="D9" s="67"/>
      <c r="E9" s="64">
        <f>E7+E8</f>
        <v>275.35000000000002</v>
      </c>
    </row>
    <row r="10" spans="1:5" x14ac:dyDescent="0.2">
      <c r="A10" s="55" t="s">
        <v>145</v>
      </c>
      <c r="B10" s="55">
        <v>50</v>
      </c>
      <c r="C10" s="60">
        <f>C9*B10</f>
        <v>6786</v>
      </c>
      <c r="D10" s="56">
        <v>2755</v>
      </c>
      <c r="E10" s="60">
        <f>E9*D10</f>
        <v>758589.25000000012</v>
      </c>
    </row>
    <row r="11" spans="1:5" x14ac:dyDescent="0.2">
      <c r="A11" s="65" t="s">
        <v>142</v>
      </c>
      <c r="B11" s="67"/>
      <c r="C11" s="82"/>
      <c r="D11" s="67"/>
      <c r="E11" s="64">
        <f>C10+E10</f>
        <v>765375.25000000012</v>
      </c>
    </row>
    <row r="13" spans="1:5" x14ac:dyDescent="0.2">
      <c r="A13" s="65" t="s">
        <v>119</v>
      </c>
      <c r="B13" s="79" t="s">
        <v>138</v>
      </c>
      <c r="C13" s="80"/>
      <c r="D13" s="81" t="s">
        <v>144</v>
      </c>
      <c r="E13" s="80"/>
    </row>
    <row r="14" spans="1:5" x14ac:dyDescent="0.2">
      <c r="A14" s="55" t="s">
        <v>139</v>
      </c>
      <c r="B14" s="55"/>
      <c r="C14" s="60">
        <v>125</v>
      </c>
      <c r="D14" s="56"/>
      <c r="E14" s="60">
        <v>250</v>
      </c>
    </row>
    <row r="15" spans="1:5" x14ac:dyDescent="0.2">
      <c r="A15" s="55" t="s">
        <v>143</v>
      </c>
      <c r="B15" s="55"/>
      <c r="C15" s="60">
        <v>0</v>
      </c>
      <c r="D15" s="56"/>
      <c r="E15" s="60">
        <f>5.2*2</f>
        <v>10.4</v>
      </c>
    </row>
    <row r="16" spans="1:5" x14ac:dyDescent="0.2">
      <c r="A16" s="55" t="s">
        <v>140</v>
      </c>
      <c r="B16" s="55"/>
      <c r="C16" s="60">
        <f>17*0.8</f>
        <v>13.600000000000001</v>
      </c>
      <c r="D16" s="56"/>
      <c r="E16" s="60">
        <f>17*0.8</f>
        <v>13.600000000000001</v>
      </c>
    </row>
    <row r="17" spans="1:5" x14ac:dyDescent="0.2">
      <c r="A17" s="55" t="s">
        <v>112</v>
      </c>
      <c r="B17" s="55"/>
      <c r="C17" s="60">
        <f>C14-C15-C16</f>
        <v>111.4</v>
      </c>
      <c r="D17" s="56"/>
      <c r="E17" s="60">
        <f>E14-E15-E16</f>
        <v>226</v>
      </c>
    </row>
    <row r="18" spans="1:5" x14ac:dyDescent="0.2">
      <c r="A18" s="55" t="s">
        <v>61</v>
      </c>
      <c r="B18" s="61">
        <f>motorista!C137</f>
        <v>0.21839080459770144</v>
      </c>
      <c r="C18" s="60">
        <f>TRUNC(C17*B18,2)</f>
        <v>24.32</v>
      </c>
      <c r="D18" s="58">
        <f>motorista!C137</f>
        <v>0.21839080459770144</v>
      </c>
      <c r="E18" s="60">
        <f>TRUNC(E17*D18,2)</f>
        <v>49.35</v>
      </c>
    </row>
    <row r="19" spans="1:5" x14ac:dyDescent="0.2">
      <c r="A19" s="65" t="s">
        <v>141</v>
      </c>
      <c r="B19" s="65"/>
      <c r="C19" s="64">
        <f>C17+C18</f>
        <v>135.72</v>
      </c>
      <c r="D19" s="67"/>
      <c r="E19" s="64">
        <f>E17+E18</f>
        <v>275.35000000000002</v>
      </c>
    </row>
    <row r="20" spans="1:5" x14ac:dyDescent="0.2">
      <c r="A20" s="55" t="s">
        <v>145</v>
      </c>
      <c r="B20" s="55">
        <v>120</v>
      </c>
      <c r="C20" s="60">
        <f>C19*B20</f>
        <v>16286.4</v>
      </c>
      <c r="D20" s="56">
        <v>3444</v>
      </c>
      <c r="E20" s="60">
        <f>E19*D20</f>
        <v>948305.4</v>
      </c>
    </row>
    <row r="21" spans="1:5" x14ac:dyDescent="0.2">
      <c r="A21" s="65" t="s">
        <v>142</v>
      </c>
      <c r="B21" s="67"/>
      <c r="C21" s="82"/>
      <c r="D21" s="67"/>
      <c r="E21" s="64">
        <f>C20+E20</f>
        <v>964591.8</v>
      </c>
    </row>
  </sheetData>
  <mergeCells count="4">
    <mergeCell ref="B3:C3"/>
    <mergeCell ref="D3:E3"/>
    <mergeCell ref="B13:C13"/>
    <mergeCell ref="D13:E13"/>
  </mergeCells>
  <pageMargins left="0.51181102362204722" right="0.51181102362204722" top="1.4960629921259843" bottom="0.78740157480314965" header="0.31496062992125984" footer="0.31496062992125984"/>
  <pageSetup paperSize="9" fitToHeight="0" orientation="portrait" r:id="rId1"/>
  <headerFooter>
    <oddHeader>&amp;C&amp;G</oddHeader>
    <oddFooter>&amp;L&amp;"-,Negrito"Elaborado em &amp;D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view="pageBreakPreview" zoomScaleNormal="100" zoomScaleSheetLayoutView="100" workbookViewId="0">
      <selection activeCell="K34" sqref="K34"/>
    </sheetView>
  </sheetViews>
  <sheetFormatPr defaultRowHeight="12.75" x14ac:dyDescent="0.25"/>
  <cols>
    <col min="1" max="1" width="12.7109375" style="83" customWidth="1"/>
    <col min="2" max="2" width="40.7109375" style="83" customWidth="1"/>
    <col min="3" max="6" width="12.7109375" style="83" customWidth="1"/>
    <col min="7" max="16384" width="9.140625" style="83"/>
  </cols>
  <sheetData>
    <row r="1" spans="1:6" ht="14.25" x14ac:dyDescent="0.25">
      <c r="A1" s="100" t="s">
        <v>146</v>
      </c>
      <c r="B1" s="100"/>
      <c r="C1" s="100"/>
      <c r="D1" s="100"/>
      <c r="E1" s="100"/>
      <c r="F1" s="100"/>
    </row>
    <row r="3" spans="1:6" x14ac:dyDescent="0.25">
      <c r="A3" s="98" t="s">
        <v>154</v>
      </c>
    </row>
    <row r="4" spans="1:6" s="85" customFormat="1" ht="25.5" x14ac:dyDescent="0.25">
      <c r="A4" s="87" t="s">
        <v>147</v>
      </c>
      <c r="B4" s="87" t="s">
        <v>148</v>
      </c>
      <c r="C4" s="87" t="s">
        <v>151</v>
      </c>
      <c r="D4" s="87" t="s">
        <v>150</v>
      </c>
      <c r="E4" s="87" t="s">
        <v>149</v>
      </c>
      <c r="F4" s="87" t="s">
        <v>152</v>
      </c>
    </row>
    <row r="5" spans="1:6" x14ac:dyDescent="0.25">
      <c r="A5" s="88">
        <v>1</v>
      </c>
      <c r="B5" s="89" t="str">
        <f>motorista!A6</f>
        <v>Motorista de caminhão a partir de 25m3</v>
      </c>
      <c r="C5" s="90">
        <f>motorista!D150</f>
        <v>6382.33</v>
      </c>
      <c r="D5" s="88">
        <f>motorista!D6</f>
        <v>27</v>
      </c>
      <c r="E5" s="90">
        <f>C5*D5</f>
        <v>172322.91</v>
      </c>
      <c r="F5" s="90">
        <f>E5*12</f>
        <v>2067874.92</v>
      </c>
    </row>
    <row r="6" spans="1:6" x14ac:dyDescent="0.25">
      <c r="A6" s="88">
        <v>2</v>
      </c>
      <c r="B6" s="89" t="str">
        <f>supervisor!A6</f>
        <v>Supervisor de Transporte/Frota</v>
      </c>
      <c r="C6" s="90">
        <f>supervisor!D150</f>
        <v>5489.63</v>
      </c>
      <c r="D6" s="88">
        <f>supervisor!D6</f>
        <v>1</v>
      </c>
      <c r="E6" s="90">
        <f>C6*D6</f>
        <v>5489.63</v>
      </c>
      <c r="F6" s="90">
        <f>E6*12</f>
        <v>65875.56</v>
      </c>
    </row>
    <row r="7" spans="1:6" x14ac:dyDescent="0.25">
      <c r="C7" s="95" t="s">
        <v>153</v>
      </c>
      <c r="D7" s="88">
        <f>SUM(D5:D6)</f>
        <v>28</v>
      </c>
      <c r="E7" s="90">
        <f>SUM(E5:E6)</f>
        <v>177812.54</v>
      </c>
      <c r="F7" s="96">
        <f>SUM(F5:F6)</f>
        <v>2133750.48</v>
      </c>
    </row>
    <row r="9" spans="1:6" x14ac:dyDescent="0.25">
      <c r="A9" s="98" t="s">
        <v>155</v>
      </c>
    </row>
    <row r="10" spans="1:6" s="85" customFormat="1" ht="25.5" x14ac:dyDescent="0.25">
      <c r="A10" s="87" t="s">
        <v>147</v>
      </c>
      <c r="B10" s="87" t="s">
        <v>148</v>
      </c>
      <c r="C10" s="87" t="s">
        <v>151</v>
      </c>
      <c r="D10" s="87" t="s">
        <v>150</v>
      </c>
      <c r="E10" s="87" t="s">
        <v>149</v>
      </c>
      <c r="F10" s="87" t="s">
        <v>158</v>
      </c>
    </row>
    <row r="11" spans="1:6" s="84" customFormat="1" ht="25.5" x14ac:dyDescent="0.25">
      <c r="A11" s="87">
        <v>3</v>
      </c>
      <c r="B11" s="91" t="str">
        <f>motoristatemp!A6</f>
        <v>Motorista de caminhão a partir de 25m3 - julho a novembro em ano de eleições</v>
      </c>
      <c r="C11" s="92">
        <f>motoristatemp!D150</f>
        <v>6168.47</v>
      </c>
      <c r="D11" s="87">
        <f>motoristatemp!D6</f>
        <v>4</v>
      </c>
      <c r="E11" s="92">
        <f>C11*D11</f>
        <v>24673.88</v>
      </c>
      <c r="F11" s="92">
        <f>E11*5</f>
        <v>123369.40000000001</v>
      </c>
    </row>
    <row r="12" spans="1:6" x14ac:dyDescent="0.25">
      <c r="C12" s="95" t="s">
        <v>153</v>
      </c>
      <c r="D12" s="88">
        <f>SUM(D11)</f>
        <v>4</v>
      </c>
      <c r="E12" s="90">
        <f>SUM(E11)</f>
        <v>24673.88</v>
      </c>
      <c r="F12" s="96">
        <f>SUM(F11)</f>
        <v>123369.40000000001</v>
      </c>
    </row>
    <row r="14" spans="1:6" x14ac:dyDescent="0.25">
      <c r="A14" s="98" t="s">
        <v>156</v>
      </c>
    </row>
    <row r="15" spans="1:6" s="86" customFormat="1" x14ac:dyDescent="0.25">
      <c r="A15" s="88" t="s">
        <v>147</v>
      </c>
      <c r="B15" s="93" t="s">
        <v>148</v>
      </c>
      <c r="C15" s="93"/>
      <c r="D15" s="93"/>
      <c r="E15" s="93"/>
      <c r="F15" s="88" t="s">
        <v>152</v>
      </c>
    </row>
    <row r="16" spans="1:6" x14ac:dyDescent="0.25">
      <c r="A16" s="88">
        <v>4</v>
      </c>
      <c r="B16" s="94" t="str">
        <f>horaextra!A21</f>
        <v xml:space="preserve">Ano Eleitoral </v>
      </c>
      <c r="C16" s="94"/>
      <c r="D16" s="94"/>
      <c r="E16" s="94"/>
      <c r="F16" s="90">
        <f>horaextra!E34</f>
        <v>10119.060000000001</v>
      </c>
    </row>
    <row r="17" spans="1:6" x14ac:dyDescent="0.25">
      <c r="A17" s="88">
        <v>5</v>
      </c>
      <c r="B17" s="94" t="str">
        <f>horaextra!A36</f>
        <v>Ano Não Eleitoral</v>
      </c>
      <c r="C17" s="94"/>
      <c r="D17" s="94"/>
      <c r="E17" s="94"/>
      <c r="F17" s="90">
        <f>horaextra!E49</f>
        <v>6500.46</v>
      </c>
    </row>
    <row r="18" spans="1:6" x14ac:dyDescent="0.25">
      <c r="E18" s="95" t="s">
        <v>153</v>
      </c>
      <c r="F18" s="97">
        <f>SUM(F16:F17)</f>
        <v>16619.52</v>
      </c>
    </row>
    <row r="20" spans="1:6" x14ac:dyDescent="0.25">
      <c r="A20" s="98" t="s">
        <v>157</v>
      </c>
    </row>
    <row r="21" spans="1:6" s="86" customFormat="1" x14ac:dyDescent="0.25">
      <c r="A21" s="88" t="s">
        <v>147</v>
      </c>
      <c r="B21" s="93" t="s">
        <v>148</v>
      </c>
      <c r="C21" s="93"/>
      <c r="D21" s="93"/>
      <c r="E21" s="93"/>
      <c r="F21" s="88" t="s">
        <v>152</v>
      </c>
    </row>
    <row r="22" spans="1:6" x14ac:dyDescent="0.25">
      <c r="A22" s="88">
        <v>6</v>
      </c>
      <c r="B22" s="94" t="str">
        <f>diarias!A3</f>
        <v>Ano Não Eleitoral</v>
      </c>
      <c r="C22" s="94"/>
      <c r="D22" s="94"/>
      <c r="E22" s="94"/>
      <c r="F22" s="90">
        <f>diarias!E11</f>
        <v>765375.25000000012</v>
      </c>
    </row>
    <row r="23" spans="1:6" x14ac:dyDescent="0.25">
      <c r="A23" s="88">
        <v>7</v>
      </c>
      <c r="B23" s="94" t="str">
        <f>diarias!A13</f>
        <v>Ano Eleitoral</v>
      </c>
      <c r="C23" s="94"/>
      <c r="D23" s="94"/>
      <c r="E23" s="94"/>
      <c r="F23" s="90">
        <f>diarias!E21</f>
        <v>964591.8</v>
      </c>
    </row>
    <row r="24" spans="1:6" x14ac:dyDescent="0.25">
      <c r="E24" s="95" t="s">
        <v>153</v>
      </c>
      <c r="F24" s="97">
        <f>SUM(F22:F23)</f>
        <v>1729967.0500000003</v>
      </c>
    </row>
    <row r="27" spans="1:6" ht="14.25" x14ac:dyDescent="0.25">
      <c r="B27" s="100" t="s">
        <v>159</v>
      </c>
      <c r="C27" s="100"/>
      <c r="D27" s="100"/>
      <c r="E27" s="100"/>
    </row>
    <row r="29" spans="1:6" x14ac:dyDescent="0.25">
      <c r="B29" s="101" t="s">
        <v>134</v>
      </c>
      <c r="C29" s="101"/>
      <c r="D29" s="101"/>
      <c r="E29" s="101"/>
    </row>
    <row r="30" spans="1:6" x14ac:dyDescent="0.25">
      <c r="B30" s="99" t="str">
        <f>A3</f>
        <v>Postos Regulares - tópico 1.3.1</v>
      </c>
      <c r="C30" s="94"/>
      <c r="D30" s="94"/>
      <c r="E30" s="90">
        <f>F7</f>
        <v>2133750.48</v>
      </c>
    </row>
    <row r="31" spans="1:6" x14ac:dyDescent="0.25">
      <c r="B31" s="99" t="str">
        <f>A14</f>
        <v>Serviço Extraordinário - tópico 1.3.2.2</v>
      </c>
      <c r="C31" s="94"/>
      <c r="D31" s="94"/>
      <c r="E31" s="90">
        <f>F17</f>
        <v>6500.46</v>
      </c>
    </row>
    <row r="32" spans="1:6" x14ac:dyDescent="0.25">
      <c r="B32" s="99" t="str">
        <f>A20</f>
        <v>Concessão de Diárias - tópico 1.3.3</v>
      </c>
      <c r="C32" s="94"/>
      <c r="D32" s="94"/>
      <c r="E32" s="90">
        <f>F22</f>
        <v>765375.25000000012</v>
      </c>
    </row>
    <row r="33" spans="2:5" x14ac:dyDescent="0.25">
      <c r="D33" s="95" t="s">
        <v>153</v>
      </c>
      <c r="E33" s="97">
        <f>SUM(E30:E32)</f>
        <v>2905626.19</v>
      </c>
    </row>
    <row r="35" spans="2:5" x14ac:dyDescent="0.25">
      <c r="B35" s="101" t="s">
        <v>119</v>
      </c>
      <c r="C35" s="101"/>
      <c r="D35" s="101"/>
      <c r="E35" s="101"/>
    </row>
    <row r="36" spans="2:5" x14ac:dyDescent="0.25">
      <c r="B36" s="99" t="str">
        <f>A3</f>
        <v>Postos Regulares - tópico 1.3.1</v>
      </c>
      <c r="C36" s="94"/>
      <c r="D36" s="94"/>
      <c r="E36" s="90">
        <f>F7</f>
        <v>2133750.48</v>
      </c>
    </row>
    <row r="37" spans="2:5" x14ac:dyDescent="0.25">
      <c r="B37" s="99" t="str">
        <f>A9</f>
        <v>Acréscimo Temporário - tópico 1.3.2.1</v>
      </c>
      <c r="C37" s="94"/>
      <c r="D37" s="94"/>
      <c r="E37" s="90">
        <f>F12</f>
        <v>123369.40000000001</v>
      </c>
    </row>
    <row r="38" spans="2:5" x14ac:dyDescent="0.25">
      <c r="B38" s="99" t="str">
        <f>A14</f>
        <v>Serviço Extraordinário - tópico 1.3.2.2</v>
      </c>
      <c r="C38" s="94"/>
      <c r="D38" s="94"/>
      <c r="E38" s="90">
        <f>F16</f>
        <v>10119.060000000001</v>
      </c>
    </row>
    <row r="39" spans="2:5" x14ac:dyDescent="0.25">
      <c r="B39" s="99" t="str">
        <f>A20</f>
        <v>Concessão de Diárias - tópico 1.3.3</v>
      </c>
      <c r="C39" s="94"/>
      <c r="D39" s="94"/>
      <c r="E39" s="90">
        <f>F23</f>
        <v>964591.8</v>
      </c>
    </row>
    <row r="40" spans="2:5" x14ac:dyDescent="0.25">
      <c r="D40" s="95" t="s">
        <v>153</v>
      </c>
      <c r="E40" s="97">
        <f>SUM(E36:E39)</f>
        <v>3231830.74</v>
      </c>
    </row>
    <row r="42" spans="2:5" ht="14.25" x14ac:dyDescent="0.25">
      <c r="B42" s="102" t="s">
        <v>160</v>
      </c>
      <c r="C42" s="103">
        <f>E33+E40</f>
        <v>6137456.9299999997</v>
      </c>
      <c r="D42" s="103"/>
      <c r="E42" s="103"/>
    </row>
  </sheetData>
  <mergeCells count="5">
    <mergeCell ref="B27:E27"/>
    <mergeCell ref="B29:E29"/>
    <mergeCell ref="B35:E35"/>
    <mergeCell ref="A1:F1"/>
    <mergeCell ref="C42:E42"/>
  </mergeCells>
  <pageMargins left="0.51181102362204722" right="0.51181102362204722" top="1.4960629921259843" bottom="0.78740157480314965" header="0.31496062992125984" footer="0.31496062992125984"/>
  <pageSetup paperSize="9" scale="88" fitToHeight="0" orientation="portrait" r:id="rId1"/>
  <headerFooter>
    <oddHeader>&amp;C&amp;G</oddHeader>
    <oddFooter>&amp;L&amp;"-,Negrito"Elaborado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motorista</vt:lpstr>
      <vt:lpstr>supervisor</vt:lpstr>
      <vt:lpstr>motoristatemp</vt:lpstr>
      <vt:lpstr>horaextra</vt:lpstr>
      <vt:lpstr>diarias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2024-06-10T16:09:14Z</cp:lastPrinted>
  <dcterms:created xsi:type="dcterms:W3CDTF">2019-01-29T18:54:26Z</dcterms:created>
  <dcterms:modified xsi:type="dcterms:W3CDTF">2024-06-10T16:11:03Z</dcterms:modified>
</cp:coreProperties>
</file>