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45" windowWidth="22995" windowHeight="10035" tabRatio="925" activeTab="16"/>
  </bookViews>
  <sheets>
    <sheet name="superv44" sheetId="1" r:id="rId1"/>
    <sheet name="fiscal1236d" sheetId="2" r:id="rId2"/>
    <sheet name="fiscal1236n" sheetId="3" r:id="rId3"/>
    <sheet name="vig44ssasoc" sheetId="4" r:id="rId4"/>
    <sheet name="vig1236dssa" sheetId="6" r:id="rId5"/>
    <sheet name="vig1236nssa" sheetId="7" r:id="rId6"/>
    <sheet name="vig44int" sheetId="8" r:id="rId7"/>
    <sheet name="vig1236nint" sheetId="9" r:id="rId8"/>
    <sheet name="vig1236dint" sheetId="10" r:id="rId9"/>
    <sheet name="vig44ssatat_ad" sheetId="11" r:id="rId10"/>
    <sheet name="vig44int_ad" sheetId="16" r:id="rId11"/>
    <sheet name="vig1236dint_ad" sheetId="12" r:id="rId12"/>
    <sheet name="vig1236nint_ad" sheetId="13" r:id="rId13"/>
    <sheet name="horaextra" sheetId="14" r:id="rId14"/>
    <sheet name="total_proposta" sheetId="15" r:id="rId15"/>
    <sheet name="horaextra2026" sheetId="18" r:id="rId16"/>
    <sheet name="total_apos24meses" sheetId="17" r:id="rId17"/>
  </sheets>
  <definedNames>
    <definedName name="_xlnm.Print_Area" localSheetId="13">horaextra!$A$1:$I$43</definedName>
    <definedName name="_xlnm.Print_Area" localSheetId="15">horaextra2026!$A$1:$I$43</definedName>
    <definedName name="_xlnm.Print_Area" localSheetId="16">total_apos24meses!$A$1:$H$68</definedName>
    <definedName name="_xlnm.Print_Area" localSheetId="14">total_proposta!$A$1:$H$68</definedName>
    <definedName name="_xlnm.Print_Titles" localSheetId="13">horaextra!$1:$2</definedName>
    <definedName name="_xlnm.Print_Titles" localSheetId="15">horaextra2026!$1:$2</definedName>
    <definedName name="_xlnm.Print_Titles" localSheetId="16">total_apos24meses!$1:$9</definedName>
    <definedName name="_xlnm.Print_Titles" localSheetId="14">total_proposta!$1:$9</definedName>
  </definedNames>
  <calcPr calcId="145621"/>
</workbook>
</file>

<file path=xl/calcChain.xml><?xml version="1.0" encoding="utf-8"?>
<calcChain xmlns="http://schemas.openxmlformats.org/spreadsheetml/2006/main">
  <c r="H16" i="18" l="1"/>
  <c r="F16" i="18"/>
  <c r="H16" i="14"/>
  <c r="F16" i="14"/>
  <c r="D64" i="1" l="1"/>
  <c r="D64" i="2"/>
  <c r="D64" i="3"/>
  <c r="D64" i="4"/>
  <c r="D64" i="6"/>
  <c r="D64" i="7"/>
  <c r="D64" i="8"/>
  <c r="D64" i="9"/>
  <c r="D64" i="10"/>
  <c r="D64" i="11"/>
  <c r="D64" i="16"/>
  <c r="D64" i="12"/>
  <c r="D64" i="13"/>
  <c r="D128" i="1" l="1"/>
  <c r="D128" i="2"/>
  <c r="D128" i="3"/>
  <c r="D128" i="4"/>
  <c r="D128" i="6"/>
  <c r="D128" i="7"/>
  <c r="D128" i="8"/>
  <c r="D128" i="9"/>
  <c r="D128" i="10"/>
  <c r="D128" i="11"/>
  <c r="D128" i="16"/>
  <c r="D128" i="12"/>
  <c r="D128" i="13"/>
  <c r="D65" i="1"/>
  <c r="D65" i="2"/>
  <c r="D65" i="3"/>
  <c r="D65" i="4"/>
  <c r="D65" i="6"/>
  <c r="D65" i="7"/>
  <c r="D65" i="8"/>
  <c r="D65" i="9"/>
  <c r="D65" i="10"/>
  <c r="D65" i="11"/>
  <c r="D65" i="16"/>
  <c r="D65" i="12"/>
  <c r="D65" i="13"/>
  <c r="I31" i="18" l="1"/>
  <c r="G31" i="18"/>
  <c r="E31" i="18"/>
  <c r="C31" i="18"/>
  <c r="H30" i="18"/>
  <c r="F30" i="18"/>
  <c r="D30" i="18"/>
  <c r="B30" i="18"/>
  <c r="I21" i="18"/>
  <c r="G21" i="18"/>
  <c r="E21" i="18"/>
  <c r="C21" i="18"/>
  <c r="H19" i="18"/>
  <c r="F19" i="18"/>
  <c r="D19" i="18"/>
  <c r="B19" i="18"/>
  <c r="H15" i="18"/>
  <c r="F15" i="18"/>
  <c r="D15" i="18"/>
  <c r="B15" i="18"/>
  <c r="H5" i="18"/>
  <c r="F5" i="18"/>
  <c r="D5" i="18"/>
  <c r="B5" i="18"/>
  <c r="B54" i="17"/>
  <c r="B53" i="17"/>
  <c r="B49" i="17"/>
  <c r="B45" i="17"/>
  <c r="B41" i="17"/>
  <c r="B37" i="17"/>
  <c r="B33" i="17"/>
  <c r="F28" i="17"/>
  <c r="B28" i="17"/>
  <c r="F25" i="17"/>
  <c r="B25" i="17"/>
  <c r="F22" i="17"/>
  <c r="B22" i="17"/>
  <c r="F17" i="17"/>
  <c r="B17" i="17"/>
  <c r="F16" i="17"/>
  <c r="B16" i="17"/>
  <c r="F15" i="17"/>
  <c r="B15" i="17"/>
  <c r="F14" i="17"/>
  <c r="B14" i="17"/>
  <c r="F13" i="17"/>
  <c r="B13" i="17"/>
  <c r="F12" i="17"/>
  <c r="B12" i="17"/>
  <c r="B45" i="15" l="1"/>
  <c r="I31" i="14" l="1"/>
  <c r="G31" i="14"/>
  <c r="E31" i="14"/>
  <c r="C31" i="14"/>
  <c r="H30" i="14"/>
  <c r="H19" i="14"/>
  <c r="H15" i="14"/>
  <c r="H5" i="14"/>
  <c r="I21" i="14"/>
  <c r="D58" i="3" l="1"/>
  <c r="D58" i="6"/>
  <c r="D58" i="7"/>
  <c r="D58" i="9"/>
  <c r="D58" i="10"/>
  <c r="D58" i="12"/>
  <c r="D58" i="13"/>
  <c r="D58" i="2"/>
  <c r="D58" i="4"/>
  <c r="D58" i="8"/>
  <c r="D58" i="11"/>
  <c r="D58" i="16"/>
  <c r="D58" i="1"/>
  <c r="D63" i="3"/>
  <c r="D63" i="6"/>
  <c r="D63" i="7"/>
  <c r="D63" i="9"/>
  <c r="D63" i="10"/>
  <c r="D63" i="2"/>
  <c r="D63" i="4"/>
  <c r="D63" i="8"/>
  <c r="D63" i="1"/>
  <c r="D57" i="3" l="1"/>
  <c r="D66" i="3" s="1"/>
  <c r="D57" i="6"/>
  <c r="D57" i="7"/>
  <c r="D66" i="7" s="1"/>
  <c r="D57" i="2"/>
  <c r="D57" i="1"/>
  <c r="D66" i="1" s="1"/>
  <c r="D57" i="4"/>
  <c r="D66" i="4" s="1"/>
  <c r="D57" i="11"/>
  <c r="D66" i="11" s="1"/>
  <c r="C100" i="16" l="1"/>
  <c r="C99" i="16"/>
  <c r="C98" i="16"/>
  <c r="C97" i="16"/>
  <c r="C96" i="16"/>
  <c r="B49" i="15"/>
  <c r="B41" i="15"/>
  <c r="C136" i="16" l="1"/>
  <c r="C143" i="16" s="1"/>
  <c r="D153" i="16"/>
  <c r="C86" i="16"/>
  <c r="C84" i="16"/>
  <c r="C83" i="16"/>
  <c r="C81" i="16"/>
  <c r="D57" i="16"/>
  <c r="C51" i="16"/>
  <c r="C85" i="16" s="1"/>
  <c r="C36" i="16"/>
  <c r="D36" i="16" s="1"/>
  <c r="C35" i="16"/>
  <c r="C34" i="16"/>
  <c r="C37" i="16" s="1"/>
  <c r="D20" i="16"/>
  <c r="D26" i="16" s="1"/>
  <c r="D86" i="16" s="1"/>
  <c r="D66" i="16" l="1"/>
  <c r="D74" i="16" s="1"/>
  <c r="D34" i="16"/>
  <c r="D83" i="16"/>
  <c r="D84" i="16"/>
  <c r="D85" i="16" s="1"/>
  <c r="D149" i="16"/>
  <c r="D81" i="16"/>
  <c r="D35" i="16"/>
  <c r="D57" i="10"/>
  <c r="D57" i="12"/>
  <c r="D66" i="12" s="1"/>
  <c r="D57" i="13"/>
  <c r="D66" i="13" s="1"/>
  <c r="D57" i="9"/>
  <c r="D66" i="9" s="1"/>
  <c r="D57" i="8"/>
  <c r="D66" i="8" s="1"/>
  <c r="D66" i="10" l="1"/>
  <c r="D82" i="16"/>
  <c r="D87" i="16" s="1"/>
  <c r="D151" i="16" s="1"/>
  <c r="D37" i="16"/>
  <c r="D62" i="6"/>
  <c r="D66" i="6" s="1"/>
  <c r="D62" i="10"/>
  <c r="D62" i="2"/>
  <c r="D66" i="2" s="1"/>
  <c r="C97" i="1"/>
  <c r="C97" i="2"/>
  <c r="C97" i="3"/>
  <c r="C97" i="4"/>
  <c r="C97" i="6"/>
  <c r="C97" i="7"/>
  <c r="C97" i="8"/>
  <c r="C97" i="9"/>
  <c r="C97" i="10"/>
  <c r="C97" i="11"/>
  <c r="C97" i="12"/>
  <c r="C86" i="12"/>
  <c r="C84" i="12"/>
  <c r="C83" i="12"/>
  <c r="C81" i="12"/>
  <c r="C86" i="13"/>
  <c r="C84" i="13"/>
  <c r="C83" i="13"/>
  <c r="C81" i="13"/>
  <c r="C86" i="11"/>
  <c r="C84" i="11"/>
  <c r="C83" i="11"/>
  <c r="C81" i="11"/>
  <c r="D72" i="16" l="1"/>
  <c r="D49" i="16"/>
  <c r="D50" i="16"/>
  <c r="D48" i="16"/>
  <c r="D45" i="16"/>
  <c r="D46" i="16"/>
  <c r="D47" i="16"/>
  <c r="D43" i="16"/>
  <c r="D44" i="16"/>
  <c r="B54" i="15"/>
  <c r="B53" i="15"/>
  <c r="B37" i="15"/>
  <c r="B33" i="15"/>
  <c r="C100" i="13"/>
  <c r="C99" i="13"/>
  <c r="C98" i="13"/>
  <c r="C97" i="13"/>
  <c r="C96" i="13"/>
  <c r="C100" i="12"/>
  <c r="C99" i="12"/>
  <c r="C98" i="12"/>
  <c r="C96" i="12"/>
  <c r="C100" i="11"/>
  <c r="C99" i="11"/>
  <c r="C98" i="11"/>
  <c r="C96" i="11"/>
  <c r="F28" i="15"/>
  <c r="F25" i="15"/>
  <c r="F22" i="15"/>
  <c r="B28" i="15"/>
  <c r="B25" i="15"/>
  <c r="B22" i="15"/>
  <c r="B17" i="15"/>
  <c r="B16" i="15"/>
  <c r="B15" i="15"/>
  <c r="B14" i="15"/>
  <c r="F17" i="15"/>
  <c r="F16" i="15"/>
  <c r="F15" i="15"/>
  <c r="F14" i="15"/>
  <c r="F13" i="15"/>
  <c r="B13" i="15"/>
  <c r="F12" i="15"/>
  <c r="B12" i="15"/>
  <c r="D51" i="16" l="1"/>
  <c r="D73" i="16" s="1"/>
  <c r="D75" i="16" s="1"/>
  <c r="F30" i="14"/>
  <c r="D30" i="14"/>
  <c r="B30" i="14"/>
  <c r="G21" i="14"/>
  <c r="E21" i="14"/>
  <c r="C21" i="14"/>
  <c r="F19" i="14"/>
  <c r="D19" i="14"/>
  <c r="B19" i="14"/>
  <c r="F15" i="14"/>
  <c r="D15" i="14"/>
  <c r="B15" i="14"/>
  <c r="D150" i="16" l="1"/>
  <c r="D98" i="16"/>
  <c r="D96" i="16"/>
  <c r="D97" i="16"/>
  <c r="D108" i="16"/>
  <c r="D109" i="16" s="1"/>
  <c r="D116" i="16" s="1"/>
  <c r="D99" i="16"/>
  <c r="D100" i="16"/>
  <c r="D101" i="16"/>
  <c r="F5" i="14"/>
  <c r="D5" i="14"/>
  <c r="B5" i="14"/>
  <c r="D102" i="16" l="1"/>
  <c r="D115" i="16" s="1"/>
  <c r="D117" i="16" s="1"/>
  <c r="D152" i="16" s="1"/>
  <c r="D154" i="16" s="1"/>
  <c r="C136" i="13"/>
  <c r="C143" i="13" s="1"/>
  <c r="D153" i="13"/>
  <c r="C51" i="13"/>
  <c r="C85" i="13" s="1"/>
  <c r="C36" i="13"/>
  <c r="C35" i="13"/>
  <c r="C34" i="13"/>
  <c r="D20" i="13"/>
  <c r="D22" i="13" s="1"/>
  <c r="C136" i="12"/>
  <c r="C143" i="12" s="1"/>
  <c r="D153" i="12"/>
  <c r="C51" i="12"/>
  <c r="C85" i="12" s="1"/>
  <c r="C36" i="12"/>
  <c r="D36" i="12" s="1"/>
  <c r="C35" i="12"/>
  <c r="C34" i="12"/>
  <c r="D20" i="12"/>
  <c r="D26" i="12" s="1"/>
  <c r="C136" i="11"/>
  <c r="C143" i="11" s="1"/>
  <c r="D153" i="11"/>
  <c r="C51" i="11"/>
  <c r="C85" i="11" s="1"/>
  <c r="C36" i="11"/>
  <c r="D36" i="11" s="1"/>
  <c r="C35" i="11"/>
  <c r="C34" i="11"/>
  <c r="D20" i="11"/>
  <c r="D26" i="11" s="1"/>
  <c r="C136" i="10"/>
  <c r="C143" i="10" s="1"/>
  <c r="D153" i="10"/>
  <c r="C100" i="10"/>
  <c r="C99" i="10"/>
  <c r="C98" i="10"/>
  <c r="C96" i="10"/>
  <c r="C86" i="10"/>
  <c r="C84" i="10"/>
  <c r="C83" i="10"/>
  <c r="C81" i="10"/>
  <c r="C51" i="10"/>
  <c r="C85" i="10" s="1"/>
  <c r="C36" i="10"/>
  <c r="D36" i="10" s="1"/>
  <c r="C35" i="10"/>
  <c r="C34" i="10"/>
  <c r="D20" i="10"/>
  <c r="D26" i="10" s="1"/>
  <c r="C136" i="9"/>
  <c r="C143" i="9" s="1"/>
  <c r="D153" i="9"/>
  <c r="C100" i="9"/>
  <c r="C99" i="9"/>
  <c r="C98" i="9"/>
  <c r="C96" i="9"/>
  <c r="C86" i="9"/>
  <c r="C84" i="9"/>
  <c r="C83" i="9"/>
  <c r="C81" i="9"/>
  <c r="C51" i="9"/>
  <c r="C85" i="9" s="1"/>
  <c r="C36" i="9"/>
  <c r="C35" i="9"/>
  <c r="C34" i="9"/>
  <c r="D20" i="9"/>
  <c r="D22" i="9" s="1"/>
  <c r="C136" i="8"/>
  <c r="C143" i="8" s="1"/>
  <c r="D153" i="8"/>
  <c r="C100" i="8"/>
  <c r="C99" i="8"/>
  <c r="C98" i="8"/>
  <c r="C96" i="8"/>
  <c r="C86" i="8"/>
  <c r="C84" i="8"/>
  <c r="C83" i="8"/>
  <c r="C81" i="8"/>
  <c r="C51" i="8"/>
  <c r="C36" i="8"/>
  <c r="D36" i="8" s="1"/>
  <c r="C35" i="8"/>
  <c r="C34" i="8"/>
  <c r="D20" i="8"/>
  <c r="D26" i="8" s="1"/>
  <c r="C36" i="7"/>
  <c r="C136" i="7"/>
  <c r="C143" i="7" s="1"/>
  <c r="D153" i="7"/>
  <c r="C100" i="7"/>
  <c r="C99" i="7"/>
  <c r="C98" i="7"/>
  <c r="C96" i="7"/>
  <c r="C86" i="7"/>
  <c r="C84" i="7"/>
  <c r="C83" i="7"/>
  <c r="C81" i="7"/>
  <c r="C51" i="7"/>
  <c r="C85" i="7" s="1"/>
  <c r="C35" i="7"/>
  <c r="C34" i="7"/>
  <c r="D20" i="7"/>
  <c r="C36" i="1"/>
  <c r="C36" i="2"/>
  <c r="C36" i="3"/>
  <c r="C35" i="2"/>
  <c r="C35" i="3"/>
  <c r="C35" i="4"/>
  <c r="C35" i="6"/>
  <c r="C35" i="1"/>
  <c r="C36" i="4"/>
  <c r="D36" i="4" s="1"/>
  <c r="C36" i="6"/>
  <c r="D36" i="6" s="1"/>
  <c r="C136" i="6"/>
  <c r="C143" i="6" s="1"/>
  <c r="D153" i="6"/>
  <c r="C100" i="6"/>
  <c r="C99" i="6"/>
  <c r="C98" i="6"/>
  <c r="C96" i="6"/>
  <c r="C86" i="6"/>
  <c r="C84" i="6"/>
  <c r="C83" i="6"/>
  <c r="C81" i="6"/>
  <c r="C51" i="6"/>
  <c r="C85" i="6" s="1"/>
  <c r="C34" i="6"/>
  <c r="D20" i="6"/>
  <c r="D26" i="6" s="1"/>
  <c r="C136" i="4"/>
  <c r="C143" i="4" s="1"/>
  <c r="D153" i="4"/>
  <c r="C100" i="4"/>
  <c r="C99" i="4"/>
  <c r="C98" i="4"/>
  <c r="C96" i="4"/>
  <c r="C86" i="4"/>
  <c r="C84" i="4"/>
  <c r="C83" i="4"/>
  <c r="C81" i="4"/>
  <c r="C51" i="4"/>
  <c r="D9" i="18" s="1"/>
  <c r="C34" i="4"/>
  <c r="D20" i="4"/>
  <c r="D26" i="4" s="1"/>
  <c r="E6" i="18" s="1"/>
  <c r="E7" i="18" s="1"/>
  <c r="D22" i="18" l="1"/>
  <c r="E22" i="18" s="1"/>
  <c r="E23" i="18" s="1"/>
  <c r="D32" i="18"/>
  <c r="E32" i="18" s="1"/>
  <c r="E33" i="18" s="1"/>
  <c r="D10" i="18"/>
  <c r="D8" i="18"/>
  <c r="E8" i="18" s="1"/>
  <c r="E9" i="18" s="1"/>
  <c r="E10" i="18" s="1"/>
  <c r="D8" i="14"/>
  <c r="H10" i="18"/>
  <c r="H32" i="18"/>
  <c r="I32" i="18" s="1"/>
  <c r="I33" i="18" s="1"/>
  <c r="F10" i="18"/>
  <c r="F32" i="18"/>
  <c r="G32" i="18" s="1"/>
  <c r="G33" i="18" s="1"/>
  <c r="H22" i="18"/>
  <c r="I22" i="18" s="1"/>
  <c r="I23" i="18" s="1"/>
  <c r="F22" i="18"/>
  <c r="G22" i="18" s="1"/>
  <c r="G23" i="18" s="1"/>
  <c r="H10" i="14"/>
  <c r="H32" i="14"/>
  <c r="I32" i="14" s="1"/>
  <c r="I33" i="14" s="1"/>
  <c r="H22" i="14"/>
  <c r="I22" i="14" s="1"/>
  <c r="I23" i="14" s="1"/>
  <c r="F9" i="18"/>
  <c r="H9" i="18"/>
  <c r="H9" i="14"/>
  <c r="H8" i="18"/>
  <c r="F8" i="18"/>
  <c r="H8" i="14"/>
  <c r="F8" i="14"/>
  <c r="G6" i="18"/>
  <c r="G7" i="18" s="1"/>
  <c r="I6" i="18"/>
  <c r="I7" i="18" s="1"/>
  <c r="I6" i="14"/>
  <c r="I7" i="14" s="1"/>
  <c r="E6" i="14"/>
  <c r="E7" i="14" s="1"/>
  <c r="G6" i="14"/>
  <c r="G7" i="14" s="1"/>
  <c r="D134" i="16"/>
  <c r="D135" i="16" s="1"/>
  <c r="D74" i="6"/>
  <c r="C37" i="10"/>
  <c r="C37" i="7"/>
  <c r="C37" i="12"/>
  <c r="D74" i="10"/>
  <c r="D74" i="8"/>
  <c r="D23" i="7"/>
  <c r="D22" i="7"/>
  <c r="D74" i="13"/>
  <c r="D74" i="4"/>
  <c r="C37" i="9"/>
  <c r="F32" i="14"/>
  <c r="G32" i="14" s="1"/>
  <c r="G33" i="14" s="1"/>
  <c r="F22" i="14"/>
  <c r="G22" i="14" s="1"/>
  <c r="G23" i="14" s="1"/>
  <c r="F10" i="14"/>
  <c r="C85" i="4"/>
  <c r="D9" i="14"/>
  <c r="C85" i="8"/>
  <c r="F9" i="14"/>
  <c r="D86" i="12"/>
  <c r="D84" i="12"/>
  <c r="D85" i="12" s="1"/>
  <c r="D81" i="12"/>
  <c r="D83" i="12"/>
  <c r="C37" i="4"/>
  <c r="D74" i="7"/>
  <c r="D74" i="11"/>
  <c r="D22" i="14"/>
  <c r="E22" i="14" s="1"/>
  <c r="E23" i="14" s="1"/>
  <c r="D10" i="14"/>
  <c r="D32" i="14"/>
  <c r="E32" i="14" s="1"/>
  <c r="E33" i="14" s="1"/>
  <c r="C37" i="8"/>
  <c r="D74" i="9"/>
  <c r="C37" i="11"/>
  <c r="D74" i="12"/>
  <c r="D23" i="13"/>
  <c r="C37" i="13"/>
  <c r="D149" i="12"/>
  <c r="D35" i="12"/>
  <c r="D34" i="12"/>
  <c r="D86" i="11"/>
  <c r="D83" i="11"/>
  <c r="D34" i="11"/>
  <c r="D149" i="11"/>
  <c r="D81" i="11"/>
  <c r="D84" i="11"/>
  <c r="D85" i="11" s="1"/>
  <c r="D35" i="11"/>
  <c r="D81" i="10"/>
  <c r="D149" i="10"/>
  <c r="D84" i="10"/>
  <c r="D85" i="10" s="1"/>
  <c r="D35" i="10"/>
  <c r="D86" i="10"/>
  <c r="D83" i="10"/>
  <c r="D34" i="10"/>
  <c r="D23" i="9"/>
  <c r="D81" i="8"/>
  <c r="D84" i="8"/>
  <c r="D35" i="8"/>
  <c r="D86" i="8"/>
  <c r="D34" i="8"/>
  <c r="D149" i="8"/>
  <c r="D83" i="8"/>
  <c r="C37" i="6"/>
  <c r="D81" i="6"/>
  <c r="D35" i="6"/>
  <c r="D34" i="6"/>
  <c r="D149" i="6"/>
  <c r="D86" i="6"/>
  <c r="D83" i="6"/>
  <c r="D84" i="6"/>
  <c r="D85" i="6" s="1"/>
  <c r="D81" i="4"/>
  <c r="D149" i="4"/>
  <c r="D84" i="4"/>
  <c r="D34" i="4"/>
  <c r="D86" i="4"/>
  <c r="D83" i="4"/>
  <c r="D35" i="4"/>
  <c r="C136" i="3"/>
  <c r="C143" i="3" s="1"/>
  <c r="D153" i="3"/>
  <c r="C100" i="3"/>
  <c r="C99" i="3"/>
  <c r="C98" i="3"/>
  <c r="C96" i="3"/>
  <c r="C86" i="3"/>
  <c r="C84" i="3"/>
  <c r="C83" i="3"/>
  <c r="C81" i="3"/>
  <c r="C51" i="3"/>
  <c r="C85" i="3" s="1"/>
  <c r="C34" i="3"/>
  <c r="C37" i="3" s="1"/>
  <c r="D24" i="3"/>
  <c r="D20" i="3"/>
  <c r="D153" i="2"/>
  <c r="D24" i="2"/>
  <c r="C136" i="2"/>
  <c r="C143" i="2" s="1"/>
  <c r="C100" i="2"/>
  <c r="C99" i="2"/>
  <c r="C98" i="2"/>
  <c r="C96" i="2"/>
  <c r="C86" i="2"/>
  <c r="C84" i="2"/>
  <c r="C83" i="2"/>
  <c r="C81" i="2"/>
  <c r="C51" i="2"/>
  <c r="C85" i="2" s="1"/>
  <c r="C34" i="2"/>
  <c r="C37" i="2" s="1"/>
  <c r="D20" i="2"/>
  <c r="I24" i="14" l="1"/>
  <c r="I25" i="14"/>
  <c r="I35" i="14"/>
  <c r="I34" i="14"/>
  <c r="I34" i="18"/>
  <c r="I35" i="18"/>
  <c r="G8" i="18"/>
  <c r="G9" i="18" s="1"/>
  <c r="G10" i="18" s="1"/>
  <c r="G35" i="18"/>
  <c r="G34" i="18"/>
  <c r="I8" i="14"/>
  <c r="I9" i="14"/>
  <c r="I10" i="14" s="1"/>
  <c r="I11" i="14" s="1"/>
  <c r="I12" i="14" s="1"/>
  <c r="I16" i="14" s="1"/>
  <c r="G24" i="18"/>
  <c r="G25" i="18"/>
  <c r="E34" i="18"/>
  <c r="E35" i="18"/>
  <c r="I8" i="18"/>
  <c r="I9" i="18" s="1"/>
  <c r="I10" i="18" s="1"/>
  <c r="E11" i="18"/>
  <c r="E12" i="18" s="1"/>
  <c r="E16" i="18" s="1"/>
  <c r="B40" i="18" s="1"/>
  <c r="I25" i="18"/>
  <c r="I24" i="18"/>
  <c r="E24" i="18"/>
  <c r="E25" i="18"/>
  <c r="G8" i="14"/>
  <c r="G9" i="14"/>
  <c r="E8" i="14"/>
  <c r="D136" i="16"/>
  <c r="D143" i="16" s="1"/>
  <c r="D155" i="16" s="1"/>
  <c r="D156" i="16" s="1"/>
  <c r="D26" i="7"/>
  <c r="D81" i="7" s="1"/>
  <c r="D82" i="7" s="1"/>
  <c r="D74" i="3"/>
  <c r="D26" i="2"/>
  <c r="D83" i="2" s="1"/>
  <c r="D74" i="2"/>
  <c r="D23" i="3"/>
  <c r="D22" i="3"/>
  <c r="D26" i="9"/>
  <c r="D37" i="10"/>
  <c r="D48" i="10" s="1"/>
  <c r="D37" i="11"/>
  <c r="D72" i="11" s="1"/>
  <c r="D26" i="13"/>
  <c r="D35" i="13" s="1"/>
  <c r="D37" i="6"/>
  <c r="D50" i="6" s="1"/>
  <c r="E34" i="14"/>
  <c r="E35" i="14"/>
  <c r="E25" i="14"/>
  <c r="E24" i="14"/>
  <c r="D37" i="4"/>
  <c r="D85" i="8"/>
  <c r="D82" i="12"/>
  <c r="D87" i="12" s="1"/>
  <c r="D151" i="12" s="1"/>
  <c r="G25" i="14"/>
  <c r="G24" i="14"/>
  <c r="G35" i="14"/>
  <c r="G34" i="14"/>
  <c r="D85" i="4"/>
  <c r="D37" i="12"/>
  <c r="D82" i="11"/>
  <c r="D87" i="11" s="1"/>
  <c r="D151" i="11" s="1"/>
  <c r="D82" i="10"/>
  <c r="D87" i="10" s="1"/>
  <c r="D151" i="10" s="1"/>
  <c r="D86" i="9"/>
  <c r="D37" i="8"/>
  <c r="D82" i="8"/>
  <c r="D82" i="6"/>
  <c r="D87" i="6" s="1"/>
  <c r="D151" i="6" s="1"/>
  <c r="D82" i="4"/>
  <c r="D24" i="1"/>
  <c r="D20" i="1"/>
  <c r="I26" i="18" l="1"/>
  <c r="I27" i="18" s="1"/>
  <c r="G36" i="18"/>
  <c r="G37" i="18" s="1"/>
  <c r="I36" i="14"/>
  <c r="I37" i="14" s="1"/>
  <c r="G26" i="18"/>
  <c r="G27" i="18" s="1"/>
  <c r="G11" i="18"/>
  <c r="G12" i="18" s="1"/>
  <c r="G16" i="18" s="1"/>
  <c r="E36" i="18"/>
  <c r="E37" i="18" s="1"/>
  <c r="B42" i="18" s="1"/>
  <c r="I26" i="14"/>
  <c r="I27" i="14" s="1"/>
  <c r="I36" i="18"/>
  <c r="I37" i="18" s="1"/>
  <c r="E26" i="18"/>
  <c r="E27" i="18" s="1"/>
  <c r="B41" i="18" s="1"/>
  <c r="I11" i="18"/>
  <c r="I12" i="18" s="1"/>
  <c r="I16" i="18" s="1"/>
  <c r="C49" i="17"/>
  <c r="E49" i="17" s="1"/>
  <c r="G49" i="17" s="1"/>
  <c r="H49" i="17" s="1"/>
  <c r="C45" i="17"/>
  <c r="E45" i="17" s="1"/>
  <c r="G45" i="17" s="1"/>
  <c r="H45" i="17" s="1"/>
  <c r="C41" i="17"/>
  <c r="E41" i="17" s="1"/>
  <c r="G41" i="17" s="1"/>
  <c r="H41" i="17" s="1"/>
  <c r="G64" i="17" s="1"/>
  <c r="C45" i="15"/>
  <c r="E45" i="15" s="1"/>
  <c r="G45" i="15" s="1"/>
  <c r="H45" i="15" s="1"/>
  <c r="G10" i="14"/>
  <c r="G11" i="14" s="1"/>
  <c r="G12" i="14" s="1"/>
  <c r="G16" i="14" s="1"/>
  <c r="E40" i="14" s="1"/>
  <c r="E9" i="14"/>
  <c r="E10" i="14" s="1"/>
  <c r="E11" i="14" s="1"/>
  <c r="E12" i="14" s="1"/>
  <c r="D26" i="3"/>
  <c r="D149" i="3" s="1"/>
  <c r="D149" i="7"/>
  <c r="D86" i="7"/>
  <c r="D35" i="9"/>
  <c r="D36" i="7"/>
  <c r="D34" i="7"/>
  <c r="D84" i="7"/>
  <c r="D85" i="7" s="1"/>
  <c r="D83" i="7"/>
  <c r="D35" i="7"/>
  <c r="D36" i="2"/>
  <c r="C41" i="15"/>
  <c r="C49" i="15"/>
  <c r="E26" i="14"/>
  <c r="E27" i="14" s="1"/>
  <c r="B41" i="14" s="1"/>
  <c r="G26" i="14"/>
  <c r="G27" i="14" s="1"/>
  <c r="D142" i="16"/>
  <c r="D141" i="16"/>
  <c r="D140" i="16"/>
  <c r="D139" i="16"/>
  <c r="D138" i="16"/>
  <c r="D137" i="16"/>
  <c r="D47" i="6"/>
  <c r="D44" i="6"/>
  <c r="D35" i="2"/>
  <c r="D81" i="2"/>
  <c r="D82" i="2" s="1"/>
  <c r="D34" i="2"/>
  <c r="D87" i="8"/>
  <c r="D151" i="8" s="1"/>
  <c r="D84" i="2"/>
  <c r="D85" i="2" s="1"/>
  <c r="D86" i="2"/>
  <c r="D149" i="2"/>
  <c r="G36" i="14"/>
  <c r="G37" i="14" s="1"/>
  <c r="D44" i="11"/>
  <c r="D45" i="10"/>
  <c r="D43" i="10"/>
  <c r="D87" i="4"/>
  <c r="D151" i="4" s="1"/>
  <c r="D149" i="13"/>
  <c r="D43" i="11"/>
  <c r="D47" i="10"/>
  <c r="D49" i="10"/>
  <c r="D46" i="11"/>
  <c r="D86" i="13"/>
  <c r="D49" i="11"/>
  <c r="D81" i="13"/>
  <c r="D82" i="13" s="1"/>
  <c r="D50" i="11"/>
  <c r="D47" i="11"/>
  <c r="D45" i="11"/>
  <c r="D84" i="9"/>
  <c r="D85" i="9" s="1"/>
  <c r="D36" i="9"/>
  <c r="D149" i="9"/>
  <c r="D36" i="13"/>
  <c r="D83" i="13"/>
  <c r="D34" i="9"/>
  <c r="D81" i="9"/>
  <c r="D82" i="9" s="1"/>
  <c r="D34" i="13"/>
  <c r="D84" i="13"/>
  <c r="D85" i="13" s="1"/>
  <c r="D72" i="10"/>
  <c r="D50" i="10"/>
  <c r="D83" i="9"/>
  <c r="D48" i="11"/>
  <c r="D46" i="10"/>
  <c r="D44" i="10"/>
  <c r="E36" i="14"/>
  <c r="E37" i="14" s="1"/>
  <c r="B42" i="14" s="1"/>
  <c r="D72" i="12"/>
  <c r="D48" i="12"/>
  <c r="D44" i="12"/>
  <c r="D45" i="12"/>
  <c r="D47" i="12"/>
  <c r="D49" i="12"/>
  <c r="D43" i="12"/>
  <c r="D50" i="12"/>
  <c r="D46" i="12"/>
  <c r="D72" i="8"/>
  <c r="D47" i="8"/>
  <c r="D44" i="8"/>
  <c r="D49" i="8"/>
  <c r="D43" i="8"/>
  <c r="D45" i="8"/>
  <c r="D46" i="8"/>
  <c r="D48" i="8"/>
  <c r="D50" i="8"/>
  <c r="D83" i="3"/>
  <c r="D36" i="3"/>
  <c r="D46" i="6"/>
  <c r="D72" i="6"/>
  <c r="D49" i="6"/>
  <c r="D43" i="6"/>
  <c r="D48" i="6"/>
  <c r="D45" i="6"/>
  <c r="D72" i="4"/>
  <c r="D50" i="4"/>
  <c r="D44" i="4"/>
  <c r="D49" i="4"/>
  <c r="D48" i="4"/>
  <c r="D45" i="4"/>
  <c r="D47" i="4"/>
  <c r="D46" i="4"/>
  <c r="D43" i="4"/>
  <c r="D86" i="3"/>
  <c r="D34" i="3"/>
  <c r="D84" i="3"/>
  <c r="D85" i="3" s="1"/>
  <c r="D35" i="3"/>
  <c r="C86" i="1"/>
  <c r="C83" i="1"/>
  <c r="E41" i="18" l="1"/>
  <c r="E42" i="14"/>
  <c r="E42" i="18"/>
  <c r="E40" i="18"/>
  <c r="E41" i="14"/>
  <c r="G43" i="14" s="1"/>
  <c r="D81" i="3"/>
  <c r="D82" i="3" s="1"/>
  <c r="G65" i="17"/>
  <c r="E16" i="14"/>
  <c r="B40" i="14" s="1"/>
  <c r="D37" i="7"/>
  <c r="D49" i="7" s="1"/>
  <c r="D87" i="7"/>
  <c r="D151" i="7" s="1"/>
  <c r="D44" i="7"/>
  <c r="D87" i="2"/>
  <c r="D151" i="2" s="1"/>
  <c r="D37" i="2"/>
  <c r="D45" i="2" s="1"/>
  <c r="D37" i="9"/>
  <c r="D44" i="9" s="1"/>
  <c r="D46" i="7"/>
  <c r="D72" i="7"/>
  <c r="D47" i="7"/>
  <c r="D45" i="7"/>
  <c r="D43" i="7"/>
  <c r="D51" i="10"/>
  <c r="D73" i="10" s="1"/>
  <c r="D75" i="10" s="1"/>
  <c r="D51" i="11"/>
  <c r="D73" i="11" s="1"/>
  <c r="D75" i="11" s="1"/>
  <c r="D150" i="11" s="1"/>
  <c r="D87" i="9"/>
  <c r="D151" i="9" s="1"/>
  <c r="D87" i="13"/>
  <c r="D151" i="13" s="1"/>
  <c r="D37" i="13"/>
  <c r="D51" i="12"/>
  <c r="D73" i="12" s="1"/>
  <c r="D75" i="12" s="1"/>
  <c r="D108" i="12" s="1"/>
  <c r="D47" i="9"/>
  <c r="D46" i="9"/>
  <c r="D51" i="8"/>
  <c r="D73" i="8" s="1"/>
  <c r="D75" i="8" s="1"/>
  <c r="D108" i="8" s="1"/>
  <c r="D37" i="3"/>
  <c r="D51" i="6"/>
  <c r="D73" i="6" s="1"/>
  <c r="D75" i="6" s="1"/>
  <c r="D108" i="6" s="1"/>
  <c r="D51" i="4"/>
  <c r="D73" i="4" s="1"/>
  <c r="D75" i="4" s="1"/>
  <c r="D108" i="4" s="1"/>
  <c r="D46" i="2"/>
  <c r="C136" i="1"/>
  <c r="C143" i="1" s="1"/>
  <c r="C100" i="1"/>
  <c r="C99" i="1"/>
  <c r="C98" i="1"/>
  <c r="C96" i="1"/>
  <c r="C84" i="1"/>
  <c r="C81" i="1"/>
  <c r="C34" i="1"/>
  <c r="C37" i="1" s="1"/>
  <c r="G43" i="18" l="1"/>
  <c r="G67" i="17" s="1"/>
  <c r="D49" i="2"/>
  <c r="D50" i="7"/>
  <c r="D51" i="7" s="1"/>
  <c r="D73" i="7" s="1"/>
  <c r="D75" i="7" s="1"/>
  <c r="D48" i="7"/>
  <c r="B8" i="18"/>
  <c r="B8" i="14"/>
  <c r="B22" i="18"/>
  <c r="C22" i="18" s="1"/>
  <c r="C23" i="18" s="1"/>
  <c r="B10" i="18"/>
  <c r="B32" i="18"/>
  <c r="C32" i="18" s="1"/>
  <c r="C33" i="18" s="1"/>
  <c r="D87" i="3"/>
  <c r="D151" i="3" s="1"/>
  <c r="G67" i="15"/>
  <c r="D43" i="9"/>
  <c r="D97" i="10"/>
  <c r="D108" i="10"/>
  <c r="D109" i="10" s="1"/>
  <c r="D116" i="10" s="1"/>
  <c r="D96" i="11"/>
  <c r="D108" i="11"/>
  <c r="D109" i="11" s="1"/>
  <c r="D116" i="11" s="1"/>
  <c r="D48" i="2"/>
  <c r="D47" i="2"/>
  <c r="D43" i="2"/>
  <c r="D50" i="2"/>
  <c r="D44" i="2"/>
  <c r="D72" i="2"/>
  <c r="D49" i="9"/>
  <c r="D50" i="9"/>
  <c r="D45" i="9"/>
  <c r="D72" i="9"/>
  <c r="D48" i="9"/>
  <c r="D97" i="11"/>
  <c r="D100" i="11"/>
  <c r="D101" i="11"/>
  <c r="D99" i="11"/>
  <c r="D98" i="11"/>
  <c r="D150" i="10"/>
  <c r="D100" i="10"/>
  <c r="D101" i="10"/>
  <c r="D96" i="10"/>
  <c r="D98" i="10"/>
  <c r="D99" i="10"/>
  <c r="D72" i="13"/>
  <c r="D48" i="13"/>
  <c r="D43" i="13"/>
  <c r="D49" i="13"/>
  <c r="D47" i="13"/>
  <c r="D50" i="13"/>
  <c r="D45" i="13"/>
  <c r="D46" i="13"/>
  <c r="D44" i="13"/>
  <c r="B10" i="14"/>
  <c r="B32" i="14"/>
  <c r="C32" i="14" s="1"/>
  <c r="C33" i="14" s="1"/>
  <c r="B22" i="14"/>
  <c r="C22" i="14" s="1"/>
  <c r="C23" i="14" s="1"/>
  <c r="D100" i="12"/>
  <c r="D99" i="12"/>
  <c r="D98" i="12"/>
  <c r="D97" i="12"/>
  <c r="D96" i="12"/>
  <c r="D101" i="12"/>
  <c r="D150" i="12"/>
  <c r="D109" i="12"/>
  <c r="D116" i="12" s="1"/>
  <c r="D150" i="8"/>
  <c r="D99" i="8"/>
  <c r="D98" i="8"/>
  <c r="D96" i="8"/>
  <c r="D101" i="8"/>
  <c r="D109" i="8"/>
  <c r="D116" i="8" s="1"/>
  <c r="D97" i="8"/>
  <c r="D100" i="8"/>
  <c r="D150" i="6"/>
  <c r="D97" i="6"/>
  <c r="D98" i="6"/>
  <c r="D96" i="6"/>
  <c r="D101" i="6"/>
  <c r="D109" i="6"/>
  <c r="D116" i="6" s="1"/>
  <c r="D100" i="6"/>
  <c r="D99" i="6"/>
  <c r="D150" i="4"/>
  <c r="D96" i="4"/>
  <c r="D101" i="4"/>
  <c r="D100" i="4"/>
  <c r="D97" i="4"/>
  <c r="D98" i="4"/>
  <c r="D109" i="4"/>
  <c r="D116" i="4" s="1"/>
  <c r="D99" i="4"/>
  <c r="D72" i="3"/>
  <c r="D46" i="3"/>
  <c r="D45" i="3"/>
  <c r="D44" i="3"/>
  <c r="D43" i="3"/>
  <c r="D47" i="3"/>
  <c r="D48" i="3"/>
  <c r="D50" i="3"/>
  <c r="D49" i="3"/>
  <c r="D153" i="1"/>
  <c r="D74" i="1"/>
  <c r="C51" i="1"/>
  <c r="B9" i="18" s="1"/>
  <c r="D26" i="1"/>
  <c r="C6" i="18" s="1"/>
  <c r="C7" i="18" s="1"/>
  <c r="C8" i="18" l="1"/>
  <c r="C9" i="18" s="1"/>
  <c r="C25" i="18"/>
  <c r="C24" i="18"/>
  <c r="C26" i="18" s="1"/>
  <c r="C27" i="18" s="1"/>
  <c r="H41" i="18" s="1"/>
  <c r="C34" i="18"/>
  <c r="C35" i="18"/>
  <c r="D98" i="7"/>
  <c r="D108" i="7"/>
  <c r="D109" i="7" s="1"/>
  <c r="D116" i="7" s="1"/>
  <c r="D51" i="9"/>
  <c r="D73" i="9" s="1"/>
  <c r="D75" i="9" s="1"/>
  <c r="D108" i="9" s="1"/>
  <c r="D109" i="9" s="1"/>
  <c r="D116" i="9" s="1"/>
  <c r="D51" i="2"/>
  <c r="D73" i="2" s="1"/>
  <c r="D75" i="2" s="1"/>
  <c r="D108" i="2" s="1"/>
  <c r="D109" i="2" s="1"/>
  <c r="D116" i="2" s="1"/>
  <c r="D100" i="7"/>
  <c r="D150" i="7"/>
  <c r="D99" i="7"/>
  <c r="D97" i="7"/>
  <c r="D96" i="7"/>
  <c r="D101" i="7"/>
  <c r="D102" i="11"/>
  <c r="D115" i="11" s="1"/>
  <c r="D117" i="11" s="1"/>
  <c r="D152" i="11" s="1"/>
  <c r="D154" i="11" s="1"/>
  <c r="D134" i="11" s="1"/>
  <c r="D135" i="11" s="1"/>
  <c r="D136" i="11" s="1"/>
  <c r="D102" i="10"/>
  <c r="D115" i="10" s="1"/>
  <c r="D117" i="10" s="1"/>
  <c r="D152" i="10" s="1"/>
  <c r="D154" i="10" s="1"/>
  <c r="D134" i="10" s="1"/>
  <c r="D51" i="13"/>
  <c r="D73" i="13" s="1"/>
  <c r="D75" i="13" s="1"/>
  <c r="D108" i="13" s="1"/>
  <c r="C6" i="14"/>
  <c r="C7" i="14" s="1"/>
  <c r="D36" i="1"/>
  <c r="C85" i="1"/>
  <c r="B9" i="14"/>
  <c r="C24" i="14"/>
  <c r="C25" i="14"/>
  <c r="C34" i="14"/>
  <c r="C35" i="14"/>
  <c r="D102" i="12"/>
  <c r="D115" i="12" s="1"/>
  <c r="D117" i="12" s="1"/>
  <c r="D152" i="12" s="1"/>
  <c r="D154" i="12" s="1"/>
  <c r="D150" i="9"/>
  <c r="D99" i="9"/>
  <c r="D101" i="9"/>
  <c r="D102" i="8"/>
  <c r="D115" i="8" s="1"/>
  <c r="D117" i="8" s="1"/>
  <c r="D152" i="8" s="1"/>
  <c r="D154" i="8" s="1"/>
  <c r="D102" i="6"/>
  <c r="D115" i="6" s="1"/>
  <c r="D117" i="6" s="1"/>
  <c r="D152" i="6" s="1"/>
  <c r="D154" i="6" s="1"/>
  <c r="D102" i="4"/>
  <c r="D115" i="4" s="1"/>
  <c r="D117" i="4" s="1"/>
  <c r="D152" i="4" s="1"/>
  <c r="D154" i="4" s="1"/>
  <c r="D51" i="3"/>
  <c r="D73" i="3" s="1"/>
  <c r="D75" i="3" s="1"/>
  <c r="D108" i="3" s="1"/>
  <c r="D96" i="2"/>
  <c r="D83" i="1"/>
  <c r="D81" i="1"/>
  <c r="D82" i="1" s="1"/>
  <c r="D84" i="1"/>
  <c r="D149" i="1"/>
  <c r="D35" i="1"/>
  <c r="D86" i="1"/>
  <c r="D34" i="1"/>
  <c r="C36" i="18" l="1"/>
  <c r="C37" i="18" s="1"/>
  <c r="H42" i="18" s="1"/>
  <c r="C10" i="18"/>
  <c r="C11" i="18" s="1"/>
  <c r="C12" i="18" s="1"/>
  <c r="C16" i="18" s="1"/>
  <c r="D99" i="2"/>
  <c r="C8" i="14"/>
  <c r="C9" i="14" s="1"/>
  <c r="D98" i="9"/>
  <c r="D96" i="9"/>
  <c r="D150" i="2"/>
  <c r="D97" i="9"/>
  <c r="D97" i="2"/>
  <c r="D101" i="2"/>
  <c r="D98" i="2"/>
  <c r="D100" i="9"/>
  <c r="D100" i="2"/>
  <c r="D102" i="7"/>
  <c r="D115" i="7" s="1"/>
  <c r="D117" i="7" s="1"/>
  <c r="D152" i="7" s="1"/>
  <c r="D154" i="7" s="1"/>
  <c r="D134" i="7" s="1"/>
  <c r="D135" i="7" s="1"/>
  <c r="D136" i="7" s="1"/>
  <c r="D135" i="10"/>
  <c r="D136" i="10" s="1"/>
  <c r="C36" i="14"/>
  <c r="C37" i="14" s="1"/>
  <c r="H42" i="14" s="1"/>
  <c r="D85" i="1"/>
  <c r="D87" i="1" s="1"/>
  <c r="C26" i="14"/>
  <c r="C27" i="14" s="1"/>
  <c r="H41" i="14" s="1"/>
  <c r="D101" i="13"/>
  <c r="D150" i="13"/>
  <c r="D98" i="13"/>
  <c r="D97" i="13"/>
  <c r="D109" i="13"/>
  <c r="D116" i="13" s="1"/>
  <c r="D96" i="13"/>
  <c r="D100" i="13"/>
  <c r="D99" i="13"/>
  <c r="D37" i="1"/>
  <c r="D134" i="12"/>
  <c r="D143" i="11"/>
  <c r="D155" i="11" s="1"/>
  <c r="D156" i="11" s="1"/>
  <c r="D134" i="8"/>
  <c r="D134" i="6"/>
  <c r="D135" i="6" s="1"/>
  <c r="D134" i="4"/>
  <c r="D109" i="3"/>
  <c r="D116" i="3" s="1"/>
  <c r="D99" i="3"/>
  <c r="D96" i="3"/>
  <c r="D101" i="3"/>
  <c r="D150" i="3"/>
  <c r="D97" i="3"/>
  <c r="D98" i="3"/>
  <c r="D100" i="3"/>
  <c r="D102" i="9" l="1"/>
  <c r="D115" i="9" s="1"/>
  <c r="D117" i="9" s="1"/>
  <c r="D152" i="9" s="1"/>
  <c r="D154" i="9" s="1"/>
  <c r="H40" i="18"/>
  <c r="H43" i="18" s="1"/>
  <c r="D43" i="18"/>
  <c r="G62" i="17" s="1"/>
  <c r="C37" i="17"/>
  <c r="E37" i="17" s="1"/>
  <c r="G37" i="17" s="1"/>
  <c r="H37" i="17" s="1"/>
  <c r="G61" i="17" s="1"/>
  <c r="C33" i="17"/>
  <c r="E33" i="17" s="1"/>
  <c r="G33" i="17" s="1"/>
  <c r="H33" i="17" s="1"/>
  <c r="G60" i="17" s="1"/>
  <c r="C10" i="14"/>
  <c r="C11" i="14" s="1"/>
  <c r="C12" i="14" s="1"/>
  <c r="D102" i="2"/>
  <c r="D115" i="2" s="1"/>
  <c r="D117" i="2" s="1"/>
  <c r="D152" i="2" s="1"/>
  <c r="D154" i="2" s="1"/>
  <c r="D143" i="10"/>
  <c r="D155" i="10" s="1"/>
  <c r="D156" i="10" s="1"/>
  <c r="D102" i="13"/>
  <c r="D115" i="13" s="1"/>
  <c r="D117" i="13" s="1"/>
  <c r="D152" i="13" s="1"/>
  <c r="D154" i="13" s="1"/>
  <c r="D134" i="13" s="1"/>
  <c r="C37" i="15"/>
  <c r="E37" i="15" s="1"/>
  <c r="G37" i="15" s="1"/>
  <c r="H37" i="15" s="1"/>
  <c r="G61" i="15" s="1"/>
  <c r="C33" i="15"/>
  <c r="E33" i="15" s="1"/>
  <c r="G33" i="15" s="1"/>
  <c r="H33" i="15" s="1"/>
  <c r="G60" i="15" s="1"/>
  <c r="D135" i="12"/>
  <c r="D137" i="11"/>
  <c r="D142" i="11"/>
  <c r="D140" i="11"/>
  <c r="D139" i="11"/>
  <c r="D141" i="11"/>
  <c r="D138" i="11"/>
  <c r="D134" i="9"/>
  <c r="D135" i="8"/>
  <c r="D136" i="8" s="1"/>
  <c r="D143" i="7"/>
  <c r="D155" i="7" s="1"/>
  <c r="D156" i="7" s="1"/>
  <c r="D136" i="6"/>
  <c r="D143" i="6" s="1"/>
  <c r="D155" i="6" s="1"/>
  <c r="D156" i="6" s="1"/>
  <c r="D135" i="4"/>
  <c r="D136" i="4" s="1"/>
  <c r="D102" i="3"/>
  <c r="D115" i="3" s="1"/>
  <c r="D117" i="3" s="1"/>
  <c r="D152" i="3" s="1"/>
  <c r="D154" i="3" s="1"/>
  <c r="D134" i="2"/>
  <c r="D72" i="1"/>
  <c r="D46" i="1"/>
  <c r="D44" i="1"/>
  <c r="D47" i="1"/>
  <c r="D50" i="1"/>
  <c r="D45" i="1"/>
  <c r="D48" i="1"/>
  <c r="D43" i="1"/>
  <c r="D49" i="1"/>
  <c r="D151" i="1"/>
  <c r="C28" i="15" l="1"/>
  <c r="E28" i="15" s="1"/>
  <c r="G28" i="15" s="1"/>
  <c r="H28" i="15" s="1"/>
  <c r="C28" i="17"/>
  <c r="E28" i="17" s="1"/>
  <c r="G28" i="17" s="1"/>
  <c r="H28" i="17" s="1"/>
  <c r="C16" i="15"/>
  <c r="E16" i="15" s="1"/>
  <c r="G16" i="15" s="1"/>
  <c r="H16" i="15" s="1"/>
  <c r="C16" i="17"/>
  <c r="E16" i="17" s="1"/>
  <c r="G16" i="17" s="1"/>
  <c r="H16" i="17" s="1"/>
  <c r="C17" i="15"/>
  <c r="E17" i="15" s="1"/>
  <c r="G17" i="15" s="1"/>
  <c r="H17" i="15" s="1"/>
  <c r="C17" i="17"/>
  <c r="E17" i="17" s="1"/>
  <c r="G17" i="17" s="1"/>
  <c r="H17" i="17" s="1"/>
  <c r="D138" i="10"/>
  <c r="C16" i="14"/>
  <c r="D142" i="10"/>
  <c r="D137" i="10"/>
  <c r="D140" i="10"/>
  <c r="D139" i="10"/>
  <c r="D141" i="10"/>
  <c r="D135" i="13"/>
  <c r="D136" i="13" s="1"/>
  <c r="D142" i="6"/>
  <c r="D139" i="6"/>
  <c r="D137" i="6"/>
  <c r="D138" i="6"/>
  <c r="D141" i="6"/>
  <c r="D140" i="6"/>
  <c r="D136" i="12"/>
  <c r="D143" i="12" s="1"/>
  <c r="D155" i="12" s="1"/>
  <c r="D156" i="12" s="1"/>
  <c r="C53" i="17" s="1"/>
  <c r="E53" i="17" s="1"/>
  <c r="G53" i="17" s="1"/>
  <c r="H53" i="17" s="1"/>
  <c r="D135" i="9"/>
  <c r="D136" i="9" s="1"/>
  <c r="D143" i="8"/>
  <c r="D155" i="8" s="1"/>
  <c r="D156" i="8" s="1"/>
  <c r="D140" i="7"/>
  <c r="D139" i="7"/>
  <c r="D138" i="7"/>
  <c r="D137" i="7"/>
  <c r="D142" i="7"/>
  <c r="D141" i="7"/>
  <c r="D143" i="4"/>
  <c r="D155" i="4" s="1"/>
  <c r="D156" i="4" s="1"/>
  <c r="D134" i="3"/>
  <c r="D135" i="2"/>
  <c r="D51" i="1"/>
  <c r="D73" i="1" s="1"/>
  <c r="D75" i="1" s="1"/>
  <c r="C15" i="15" l="1"/>
  <c r="E15" i="15" s="1"/>
  <c r="G15" i="15" s="1"/>
  <c r="H15" i="15" s="1"/>
  <c r="C15" i="17"/>
  <c r="E15" i="17" s="1"/>
  <c r="G15" i="17" s="1"/>
  <c r="H15" i="17" s="1"/>
  <c r="C22" i="15"/>
  <c r="E22" i="15" s="1"/>
  <c r="G22" i="15" s="1"/>
  <c r="H22" i="15" s="1"/>
  <c r="C22" i="17"/>
  <c r="E22" i="17" s="1"/>
  <c r="G22" i="17" s="1"/>
  <c r="H22" i="17" s="1"/>
  <c r="H40" i="14"/>
  <c r="H43" i="14" s="1"/>
  <c r="D150" i="1"/>
  <c r="D108" i="1"/>
  <c r="D143" i="13"/>
  <c r="D155" i="13" s="1"/>
  <c r="D156" i="13" s="1"/>
  <c r="E41" i="15"/>
  <c r="G41" i="15" s="1"/>
  <c r="H41" i="15" s="1"/>
  <c r="G64" i="15" s="1"/>
  <c r="E49" i="15"/>
  <c r="G49" i="15" s="1"/>
  <c r="H49" i="15" s="1"/>
  <c r="G65" i="15" s="1"/>
  <c r="C53" i="15"/>
  <c r="E53" i="15" s="1"/>
  <c r="G53" i="15" s="1"/>
  <c r="H53" i="15" s="1"/>
  <c r="D139" i="12"/>
  <c r="D138" i="12"/>
  <c r="D137" i="12"/>
  <c r="D142" i="12"/>
  <c r="D140" i="12"/>
  <c r="D141" i="12"/>
  <c r="D143" i="9"/>
  <c r="D155" i="9" s="1"/>
  <c r="D156" i="9" s="1"/>
  <c r="D140" i="8"/>
  <c r="D139" i="8"/>
  <c r="D137" i="8"/>
  <c r="D142" i="8"/>
  <c r="D141" i="8"/>
  <c r="D138" i="8"/>
  <c r="D140" i="4"/>
  <c r="D139" i="4"/>
  <c r="D138" i="4"/>
  <c r="D137" i="4"/>
  <c r="D142" i="4"/>
  <c r="D141" i="4"/>
  <c r="D135" i="3"/>
  <c r="D136" i="3" s="1"/>
  <c r="D136" i="2"/>
  <c r="D143" i="2" s="1"/>
  <c r="D155" i="2" s="1"/>
  <c r="D156" i="2" s="1"/>
  <c r="D99" i="1"/>
  <c r="D100" i="1"/>
  <c r="D97" i="1"/>
  <c r="D101" i="1"/>
  <c r="D109" i="1"/>
  <c r="D116" i="1" s="1"/>
  <c r="D96" i="1"/>
  <c r="D98" i="1"/>
  <c r="C13" i="15" l="1"/>
  <c r="E13" i="15" s="1"/>
  <c r="G13" i="15" s="1"/>
  <c r="H13" i="15" s="1"/>
  <c r="C13" i="17"/>
  <c r="E13" i="17" s="1"/>
  <c r="G13" i="17" s="1"/>
  <c r="H13" i="17" s="1"/>
  <c r="C54" i="15"/>
  <c r="E54" i="15" s="1"/>
  <c r="G54" i="15" s="1"/>
  <c r="H54" i="15" s="1"/>
  <c r="H55" i="15" s="1"/>
  <c r="G66" i="15" s="1"/>
  <c r="C54" i="17"/>
  <c r="E54" i="17" s="1"/>
  <c r="G54" i="17" s="1"/>
  <c r="H54" i="17" s="1"/>
  <c r="H55" i="17" s="1"/>
  <c r="G66" i="17" s="1"/>
  <c r="C25" i="15"/>
  <c r="E25" i="15" s="1"/>
  <c r="G25" i="15" s="1"/>
  <c r="H25" i="15" s="1"/>
  <c r="H29" i="15" s="1"/>
  <c r="C60" i="15" s="1"/>
  <c r="C25" i="17"/>
  <c r="E25" i="17" s="1"/>
  <c r="G25" i="17" s="1"/>
  <c r="H25" i="17" s="1"/>
  <c r="H29" i="17" s="1"/>
  <c r="D43" i="14"/>
  <c r="G62" i="15" s="1"/>
  <c r="D140" i="13"/>
  <c r="D142" i="13"/>
  <c r="D138" i="13"/>
  <c r="D137" i="13"/>
  <c r="D141" i="13"/>
  <c r="D139" i="13"/>
  <c r="D140" i="9"/>
  <c r="D138" i="9"/>
  <c r="D139" i="9"/>
  <c r="D137" i="9"/>
  <c r="D142" i="9"/>
  <c r="D141" i="9"/>
  <c r="D143" i="3"/>
  <c r="D155" i="3" s="1"/>
  <c r="D156" i="3" s="1"/>
  <c r="D138" i="2"/>
  <c r="D142" i="2"/>
  <c r="D141" i="2"/>
  <c r="D140" i="2"/>
  <c r="D139" i="2"/>
  <c r="D137" i="2"/>
  <c r="D102" i="1"/>
  <c r="D115" i="1" s="1"/>
  <c r="D117" i="1" s="1"/>
  <c r="D152" i="1" s="1"/>
  <c r="D154" i="1" s="1"/>
  <c r="D134" i="1" s="1"/>
  <c r="D135" i="1" s="1"/>
  <c r="D136" i="1" s="1"/>
  <c r="G63" i="17" l="1"/>
  <c r="C60" i="17"/>
  <c r="C14" i="15"/>
  <c r="E14" i="15" s="1"/>
  <c r="G14" i="15" s="1"/>
  <c r="H14" i="15" s="1"/>
  <c r="C14" i="17"/>
  <c r="E14" i="17" s="1"/>
  <c r="G14" i="17" s="1"/>
  <c r="H14" i="17" s="1"/>
  <c r="G63" i="15"/>
  <c r="D141" i="3"/>
  <c r="D140" i="3"/>
  <c r="D139" i="3"/>
  <c r="D138" i="3"/>
  <c r="D137" i="3"/>
  <c r="D142" i="3"/>
  <c r="D143" i="1"/>
  <c r="D155" i="1" s="1"/>
  <c r="D156" i="1" s="1"/>
  <c r="C12" i="17" s="1"/>
  <c r="E12" i="17" s="1"/>
  <c r="G12" i="17" s="1"/>
  <c r="H12" i="17" s="1"/>
  <c r="H18" i="17" s="1"/>
  <c r="C59" i="17" l="1"/>
  <c r="C68" i="17" s="1"/>
  <c r="G59" i="17"/>
  <c r="G68" i="17" s="1"/>
  <c r="D142" i="1"/>
  <c r="C12" i="15"/>
  <c r="E12" i="15" s="1"/>
  <c r="G12" i="15" s="1"/>
  <c r="H12" i="15" s="1"/>
  <c r="H18" i="15" s="1"/>
  <c r="D138" i="1"/>
  <c r="D139" i="1"/>
  <c r="D137" i="1"/>
  <c r="D140" i="1"/>
  <c r="D141" i="1"/>
  <c r="H64" i="17" l="1"/>
  <c r="G59" i="15"/>
  <c r="G68" i="15" s="1"/>
  <c r="C59" i="15"/>
  <c r="C68" i="15" s="1"/>
  <c r="H64" i="15" l="1"/>
</calcChain>
</file>

<file path=xl/sharedStrings.xml><?xml version="1.0" encoding="utf-8"?>
<sst xmlns="http://schemas.openxmlformats.org/spreadsheetml/2006/main" count="2917" uniqueCount="211">
  <si>
    <t>PLANILHA DE CUSTOS E FORMAÇÃO DE PREÇOS</t>
  </si>
  <si>
    <t>Módulo 1 - Composição da Remuneração</t>
  </si>
  <si>
    <t>Composição da Remuneração</t>
  </si>
  <si>
    <t>Valor (R$)</t>
  </si>
  <si>
    <t>A</t>
  </si>
  <si>
    <t>Salário-Base</t>
  </si>
  <si>
    <t>B</t>
  </si>
  <si>
    <t>Adicional de Periculosidade</t>
  </si>
  <si>
    <t>C</t>
  </si>
  <si>
    <t>Adicional de Insalubridade</t>
  </si>
  <si>
    <t>D</t>
  </si>
  <si>
    <t>Adicional Noturno</t>
  </si>
  <si>
    <t>E</t>
  </si>
  <si>
    <t>Adicional de Hora Noturna Reduzida</t>
  </si>
  <si>
    <t>G</t>
  </si>
  <si>
    <t>Outros (especificar)</t>
  </si>
  <si>
    <t>Total</t>
  </si>
  <si>
    <t>Módulo 2 - Encargos e Benefícios Anuais, Mensais e Diários</t>
  </si>
  <si>
    <t>Submódulo 2.1 - 13º (décimo terceiro) Salário, Férias e Adicional de Férias</t>
  </si>
  <si>
    <t>2.1</t>
  </si>
  <si>
    <t>13º (décimo terceiro) Salário, Férias e Adicional de Férias</t>
  </si>
  <si>
    <t>13º (décimo terceiro) Salário</t>
  </si>
  <si>
    <t>Submódulo 2.2 - Encargos Previdenciários (GPS), Fundo de Garantia por Tempo de Serviço (FGTS) e outras contribuições.</t>
  </si>
  <si>
    <t>2.2</t>
  </si>
  <si>
    <t>GPS, FGTS e outras contribuições</t>
  </si>
  <si>
    <t>Percentual (%)</t>
  </si>
  <si>
    <t>INSS</t>
  </si>
  <si>
    <t>Salário Educação</t>
  </si>
  <si>
    <t>SAT</t>
  </si>
  <si>
    <t>SESC ou SESI</t>
  </si>
  <si>
    <t>SENAI - SENAC</t>
  </si>
  <si>
    <t>F</t>
  </si>
  <si>
    <t>SEBRAE</t>
  </si>
  <si>
    <t>INCRA</t>
  </si>
  <si>
    <t>H</t>
  </si>
  <si>
    <t>FGTS</t>
  </si>
  <si>
    <t xml:space="preserve">Total </t>
  </si>
  <si>
    <t>Submódulo 2.3 - Benefícios Mensais e Diários.</t>
  </si>
  <si>
    <t>2.3</t>
  </si>
  <si>
    <t>Benefícios Mensais e Diários</t>
  </si>
  <si>
    <t>Transporte</t>
  </si>
  <si>
    <t>Auxílio-Refeição/Alimentação</t>
  </si>
  <si>
    <t>Quadro-Resumo do Módulo 2 - Encargos e Benefícios anuais, mensais e diários</t>
  </si>
  <si>
    <t>Encargos e Benefícios Anuais, Mensais e Diários</t>
  </si>
  <si>
    <t>Módulo 3 - Provisão para Rescisão</t>
  </si>
  <si>
    <t>Provisão para Rescisão</t>
  </si>
  <si>
    <t>Aviso Prévio Indenizado</t>
  </si>
  <si>
    <t>Incidência do FGTS sobre o Aviso Prévio Indenizado</t>
  </si>
  <si>
    <t>Multa do FGTS e contribuição social sobre o Aviso Prévio Indenizado</t>
  </si>
  <si>
    <t>Aviso Prévio Trabalhado</t>
  </si>
  <si>
    <t>Multa do FGTS e contribuição social sobre o Aviso Prévio Trabalhado</t>
  </si>
  <si>
    <t>Módulo 4 - Custo de Reposição do Profissional Ausente</t>
  </si>
  <si>
    <t>4.1</t>
  </si>
  <si>
    <t>4.2</t>
  </si>
  <si>
    <t>Quadro-Resumo do Módulo 4 - Custo de Reposição do Profissional Ausente</t>
  </si>
  <si>
    <t>Custo de Reposição do Profissional Ausente</t>
  </si>
  <si>
    <t>Módulo 5 - Insumos Diversos</t>
  </si>
  <si>
    <t>Insumos Diversos</t>
  </si>
  <si>
    <t>Uniformes</t>
  </si>
  <si>
    <t>Materiais</t>
  </si>
  <si>
    <t>Equipamentos</t>
  </si>
  <si>
    <t>Módulo 6 - Custos Indiretos, Tributos e Lucro</t>
  </si>
  <si>
    <t>Custos Indiretos, Tributos e Lucro</t>
  </si>
  <si>
    <t>Custos Indiretos</t>
  </si>
  <si>
    <t>Lucro</t>
  </si>
  <si>
    <t>Tributos</t>
  </si>
  <si>
    <t>C.1. Tributos Federais (especificar)</t>
  </si>
  <si>
    <t>C.2. Tributos Estaduais (especificar)</t>
  </si>
  <si>
    <t>C.3. Tributos Municipais (especificar)</t>
  </si>
  <si>
    <t>2. QUADRO-RESUMO DO CUSTO POR EMPREGADO</t>
  </si>
  <si>
    <t>Mão de obra vinculada à execução contratual (valor por empregado)</t>
  </si>
  <si>
    <t>Módulo 6 – Custos Indiretos, Tributos e Lucro</t>
  </si>
  <si>
    <t xml:space="preserve">Valor Total por Empregado </t>
  </si>
  <si>
    <t>Dados complementares para composição dos custos referente à mão-de-obra</t>
  </si>
  <si>
    <t>Tipo de serviço (mesmo serviço com características distintas)</t>
  </si>
  <si>
    <t>Salário Normativo da Categoria Profissional</t>
  </si>
  <si>
    <t>Categoria profissional (vinculada à execução contratual)</t>
  </si>
  <si>
    <t>Data base da categoria (dia/mês/ano)</t>
  </si>
  <si>
    <t>Submódulo 4.1 - Substituto nas Ausências Legais</t>
  </si>
  <si>
    <t>Substituto nas Ausências Legais</t>
  </si>
  <si>
    <t>Substituto na cobertura de Férias</t>
  </si>
  <si>
    <t>Substituto na cobertura de Ausências Legais</t>
  </si>
  <si>
    <t>Substituto na cobertura de Licença-Paternidade</t>
  </si>
  <si>
    <t>Substituto na cobertura de Ausência por acidente de trabalho</t>
  </si>
  <si>
    <t>Substituto na cobertura de Afastamento Maternidade</t>
  </si>
  <si>
    <t>Substituto na cobertura de Outras ausências (especificar)</t>
  </si>
  <si>
    <t>Submódulo 4.2 - Substituto na Intrajornada</t>
  </si>
  <si>
    <t>Substituto na Intrajornada</t>
  </si>
  <si>
    <t>Substituto na cobertura de Intervalo para repouso e alimentação</t>
  </si>
  <si>
    <t>Identificação do Serviço</t>
  </si>
  <si>
    <t>Tipo de Serviço</t>
  </si>
  <si>
    <t>Unidade de Medida</t>
  </si>
  <si>
    <t>Quantidade total a contratar (em função da unidade de medida)</t>
  </si>
  <si>
    <t>Classificação Brasileira de Ocupações (CBO)</t>
  </si>
  <si>
    <t>Incidência de GPS, FGTS e outras contribuições sobre o Aviso Prévio Trabalhado</t>
  </si>
  <si>
    <t>Subtotal (A + B +C+ D + E)</t>
  </si>
  <si>
    <t>C.1.A. PIS</t>
  </si>
  <si>
    <t>C.1.B. COFINS</t>
  </si>
  <si>
    <t>C.3.A. ISS</t>
  </si>
  <si>
    <t>VIGILÂNCIA ARMADA DIURNA - Vigilante Supervisor, com jornada de 44 horas semanais, TRAJE SOCIAL</t>
  </si>
  <si>
    <t>posto de serviço</t>
  </si>
  <si>
    <t>Vigilante Supervisor</t>
  </si>
  <si>
    <t>Segurança e Vigilância</t>
  </si>
  <si>
    <t>Adicional do Vigilante Supervisor</t>
  </si>
  <si>
    <t>Seguro de Vida</t>
  </si>
  <si>
    <t>Exame Médico</t>
  </si>
  <si>
    <t>VIGILÂNCIA ARMADA DIURNA - Vigilante Fiscal, 12:00h x 36:00h, TRAJE SOCIAL</t>
  </si>
  <si>
    <t>Vigilante Fiscal</t>
  </si>
  <si>
    <t>Adicional do Vigilante Fiscal</t>
  </si>
  <si>
    <t>VIGILÂNCIA ARMADA NOTURNA - Vigilante Fiscal, 12:00h x 36:00h, TRAJE SOCIAL</t>
  </si>
  <si>
    <t>Prêmio de Trabalho Noturno</t>
  </si>
  <si>
    <t>Prêmio Reciclagem</t>
  </si>
  <si>
    <t>VIGILÂNCIA ARMADA DIURNA - jornada de 44 horas semanais, TRAJE SOCIAL</t>
  </si>
  <si>
    <t>Vigilante</t>
  </si>
  <si>
    <t>Adicional do Vigilante</t>
  </si>
  <si>
    <t>VIGILÂNCIA ARMADA DIURNA - jornada de 44 horas semanais, FARDAMENTO TÁTICO</t>
  </si>
  <si>
    <t>VIGILÂNCIA ARMADA DIURNA - 12:00h x 36:00h, FARDAMENTO TÁTICO</t>
  </si>
  <si>
    <t>Férias</t>
  </si>
  <si>
    <r>
      <t xml:space="preserve">Adicional de Férias </t>
    </r>
    <r>
      <rPr>
        <u/>
        <sz val="10"/>
        <color theme="1"/>
        <rFont val="Times New Roman"/>
        <family val="1"/>
      </rPr>
      <t>ou</t>
    </r>
    <r>
      <rPr>
        <sz val="10"/>
        <color theme="1"/>
        <rFont val="Times New Roman"/>
        <family val="1"/>
      </rPr>
      <t xml:space="preserve"> Prêmio de Férias</t>
    </r>
  </si>
  <si>
    <t>VIGILÂNCIA ARMADA NOTURNA - 12:00h x 36:00h, FARDAMENTO TÁTICO</t>
  </si>
  <si>
    <t>vide detalhamento na última página</t>
  </si>
  <si>
    <t>VIGILÂNCIA ARMADA DIURNA - jornada de 44 horas semanais, FARDAMENTO TÁTICO - postos adicionais, Capital</t>
  </si>
  <si>
    <t>VIGILÂNCIA ARMADA DIURNA - 12:00h x 36:00h, FARDAMENTO TÁTICO - postos adicionais, Interior</t>
  </si>
  <si>
    <t>VIGILÂNCIA ARMADA NOTURNA - 12:00h x 36:00h, FARDAMENTO TÁTICO - postos adicionais, Interior</t>
  </si>
  <si>
    <t>postos com jornada de 44 horas semanais</t>
  </si>
  <si>
    <t>Horas Extras - anos eleitorais</t>
  </si>
  <si>
    <t>Capital</t>
  </si>
  <si>
    <t>Valores Referenciais</t>
  </si>
  <si>
    <t>postos</t>
  </si>
  <si>
    <t>remuneração</t>
  </si>
  <si>
    <t>encargos</t>
  </si>
  <si>
    <t>custos indiretos, lucro e tributos</t>
  </si>
  <si>
    <t>subtotal</t>
  </si>
  <si>
    <t>v.u. hora normal</t>
  </si>
  <si>
    <t>Interior</t>
  </si>
  <si>
    <t>Ano Eleitoral</t>
  </si>
  <si>
    <t>Transporte (VT)</t>
  </si>
  <si>
    <t>horas extras (sem VT e sem VA)</t>
  </si>
  <si>
    <t>VT unitário</t>
  </si>
  <si>
    <t>VT diário</t>
  </si>
  <si>
    <t>VT sábados</t>
  </si>
  <si>
    <t>VT domingos e feriados</t>
  </si>
  <si>
    <t>Alimentação (VA)</t>
  </si>
  <si>
    <t>VA diário</t>
  </si>
  <si>
    <t>VA sábados</t>
  </si>
  <si>
    <t>VA domingos e feriados</t>
  </si>
  <si>
    <t>VT nas horas extras p/vigilante</t>
  </si>
  <si>
    <t>VA nas horas extras p/vigilante</t>
  </si>
  <si>
    <t>VT total nas horas extras</t>
  </si>
  <si>
    <t>VA total nas horas extras</t>
  </si>
  <si>
    <t>horas extras</t>
  </si>
  <si>
    <t>transporte</t>
  </si>
  <si>
    <t>alimentação</t>
  </si>
  <si>
    <t>Custo Total com Horas Extras</t>
  </si>
  <si>
    <t>item</t>
  </si>
  <si>
    <t>profissional</t>
  </si>
  <si>
    <t>valor por profissional</t>
  </si>
  <si>
    <t>profissionais por posto</t>
  </si>
  <si>
    <t>valor do posto</t>
  </si>
  <si>
    <t>quantidade de postos</t>
  </si>
  <si>
    <t>valor mensal</t>
  </si>
  <si>
    <t>valor anual</t>
  </si>
  <si>
    <r>
      <rPr>
        <b/>
        <sz val="10"/>
        <color theme="1"/>
        <rFont val="Times New Roman"/>
        <family val="1"/>
      </rPr>
      <t>Postos Regulares</t>
    </r>
    <r>
      <rPr>
        <sz val="10"/>
        <color theme="1"/>
        <rFont val="Times New Roman"/>
        <family val="1"/>
      </rPr>
      <t xml:space="preserve"> - Salvador</t>
    </r>
  </si>
  <si>
    <r>
      <rPr>
        <b/>
        <sz val="10"/>
        <color theme="1"/>
        <rFont val="Times New Roman"/>
        <family val="1"/>
      </rPr>
      <t>Postos Temporários</t>
    </r>
    <r>
      <rPr>
        <sz val="10"/>
        <color theme="1"/>
        <rFont val="Times New Roman"/>
        <family val="1"/>
      </rPr>
      <t xml:space="preserve"> - Capital - 10 dias antes do encerramento do cadastro eleitoral</t>
    </r>
  </si>
  <si>
    <t>valor total
10 dias</t>
  </si>
  <si>
    <r>
      <rPr>
        <b/>
        <sz val="10"/>
        <color theme="1"/>
        <rFont val="Times New Roman"/>
        <family val="1"/>
      </rPr>
      <t>Postos Temporários</t>
    </r>
    <r>
      <rPr>
        <sz val="10"/>
        <color theme="1"/>
        <rFont val="Times New Roman"/>
        <family val="1"/>
      </rPr>
      <t xml:space="preserve"> - Capital - 22 dias antes até 3 dias após a realização da votação no 1º e 2º turno, se houver</t>
    </r>
  </si>
  <si>
    <t>valor total
53 dias</t>
  </si>
  <si>
    <r>
      <rPr>
        <b/>
        <sz val="10"/>
        <color theme="1"/>
        <rFont val="Times New Roman"/>
        <family val="1"/>
      </rPr>
      <t>Postos Temporários</t>
    </r>
    <r>
      <rPr>
        <sz val="10"/>
        <color theme="1"/>
        <rFont val="Times New Roman"/>
        <family val="1"/>
      </rPr>
      <t xml:space="preserve"> - Interior - 10 dias antes do encerramento do cadastro eleitoral</t>
    </r>
  </si>
  <si>
    <t>Valor Total Estimado</t>
  </si>
  <si>
    <t>Ano Não Eleitoral</t>
  </si>
  <si>
    <t>Postos Regulares</t>
  </si>
  <si>
    <t>Postos Fechamento Cadastro</t>
  </si>
  <si>
    <t>Postos 1º e 2º Turnos</t>
  </si>
  <si>
    <t>Horas Extras</t>
  </si>
  <si>
    <t>Postos Pólos Temporários</t>
  </si>
  <si>
    <t>Total Ano Eleitoral</t>
  </si>
  <si>
    <t>Total Ano Não Eleitoral</t>
  </si>
  <si>
    <t>Total Estimado da Contratação</t>
  </si>
  <si>
    <t>Quadro Resumo - Valor Total Estimado - 24 meses</t>
  </si>
  <si>
    <t>Prêmio Dia do Vigilante</t>
  </si>
  <si>
    <t>EPIs</t>
  </si>
  <si>
    <t>VIGILÂNCIA ARMADA DIURNA - jornada de 44 horas semanais, FARDAMENTO TÁTICO - postos adicionais, Interior</t>
  </si>
  <si>
    <t>incidência 13º, férias e adicional</t>
  </si>
  <si>
    <t>v.u. hora extra</t>
  </si>
  <si>
    <r>
      <rPr>
        <b/>
        <sz val="10"/>
        <color theme="1"/>
        <rFont val="Times New Roman"/>
        <family val="1"/>
      </rPr>
      <t>Postos Regulares</t>
    </r>
    <r>
      <rPr>
        <sz val="10"/>
        <color theme="1"/>
        <rFont val="Times New Roman"/>
        <family val="1"/>
      </rPr>
      <t xml:space="preserve"> - Camaçari, Feira de Santana (2 postos), Itabuna, Itamaraju e Vitória da Conquista</t>
    </r>
  </si>
  <si>
    <r>
      <rPr>
        <b/>
        <sz val="10"/>
        <color theme="1"/>
        <rFont val="Times New Roman"/>
        <family val="1"/>
      </rPr>
      <t>Postos Regulares</t>
    </r>
    <r>
      <rPr>
        <sz val="10"/>
        <color theme="1"/>
        <rFont val="Times New Roman"/>
        <family val="1"/>
      </rPr>
      <t xml:space="preserve"> - Camaçari, Feira de Santana (2 postos), Itabuna e Itamaraju</t>
    </r>
  </si>
  <si>
    <t>Interior
(demais locais)</t>
  </si>
  <si>
    <t>valor total
51 dias</t>
  </si>
  <si>
    <r>
      <rPr>
        <b/>
        <sz val="10"/>
        <color theme="1"/>
        <rFont val="Times New Roman"/>
        <family val="1"/>
      </rPr>
      <t>Postos Temporários</t>
    </r>
    <r>
      <rPr>
        <sz val="10"/>
        <color theme="1"/>
        <rFont val="Times New Roman"/>
        <family val="1"/>
      </rPr>
      <t xml:space="preserve"> - Interior - 40 dias antes até 10 dias após a realização da votação no 1º turno</t>
    </r>
  </si>
  <si>
    <r>
      <rPr>
        <b/>
        <sz val="10"/>
        <color theme="1"/>
        <rFont val="Times New Roman"/>
        <family val="1"/>
      </rPr>
      <t>Postos Temporários</t>
    </r>
    <r>
      <rPr>
        <sz val="10"/>
        <color theme="1"/>
        <rFont val="Times New Roman"/>
        <family val="1"/>
      </rPr>
      <t xml:space="preserve"> - Interior - Pólos Temporários - Bom Jesus da Lapa, Conceição do Coité, Eunápolis, Itapetinga, PauloAfonso e Teixeira de Freitas - 80 dias antes até 10 dias após a realização da votação no 1º turno</t>
    </r>
  </si>
  <si>
    <t>valor total
91 dias</t>
  </si>
  <si>
    <t>Interior
(apenas Camaçari, Feira de Santana e Vitória da Conquista)</t>
  </si>
  <si>
    <r>
      <rPr>
        <b/>
        <sz val="10"/>
        <color theme="1"/>
        <rFont val="Times New Roman"/>
        <family val="1"/>
      </rPr>
      <t>Postos Temporários</t>
    </r>
    <r>
      <rPr>
        <sz val="10"/>
        <color theme="1"/>
        <rFont val="Times New Roman"/>
        <family val="1"/>
      </rPr>
      <t xml:space="preserve"> - Interior - 10 dias antes até 10 dias após a realização da votação no 2º turno, se houver</t>
    </r>
  </si>
  <si>
    <t>valor total
21 dias</t>
  </si>
  <si>
    <r>
      <rPr>
        <sz val="10"/>
        <color rgb="FFFF0000"/>
        <rFont val="Times New Roman"/>
        <family val="1"/>
      </rPr>
      <t>*</t>
    </r>
    <r>
      <rPr>
        <sz val="10"/>
        <color theme="1"/>
        <rFont val="Times New Roman"/>
        <family val="1"/>
      </rPr>
      <t>eleições para Presidente, Governador, Deputados e Senadores, com possibilidade de reforço para o segundo turno em todas as localidades</t>
    </r>
  </si>
  <si>
    <r>
      <t>quantidade de postos</t>
    </r>
    <r>
      <rPr>
        <sz val="10"/>
        <color rgb="FFFF0000"/>
        <rFont val="Times New Roman"/>
        <family val="1"/>
      </rPr>
      <t>*</t>
    </r>
  </si>
  <si>
    <r>
      <rPr>
        <b/>
        <sz val="10"/>
        <color theme="1"/>
        <rFont val="Times New Roman"/>
        <family val="1"/>
      </rPr>
      <t>Postos Temporários</t>
    </r>
    <r>
      <rPr>
        <sz val="10"/>
        <color theme="1"/>
        <rFont val="Times New Roman"/>
        <family val="1"/>
      </rPr>
      <t xml:space="preserve"> - Interior - Pólos Temporários - Bom Jesus da Lapa, Conceição do Coité, Eunápolis, Itapetinga, PauloAfonso e Teixeira de Freitas - 80 dias antes do 1º turno até 10 dias após a realização da votação no 1º turno, ou até 10 dias após a realização da votação no 2º turno, se houver</t>
    </r>
    <r>
      <rPr>
        <sz val="10"/>
        <color rgb="FFFF0000"/>
        <rFont val="Times New Roman"/>
        <family val="1"/>
      </rPr>
      <t>*</t>
    </r>
  </si>
  <si>
    <r>
      <t>valor total
122 dias</t>
    </r>
    <r>
      <rPr>
        <sz val="10"/>
        <color rgb="FFFF0000"/>
        <rFont val="Times New Roman"/>
        <family val="1"/>
      </rPr>
      <t>*</t>
    </r>
  </si>
  <si>
    <r>
      <t>Total Estimado</t>
    </r>
    <r>
      <rPr>
        <b/>
        <sz val="10"/>
        <color rgb="FFFF0000"/>
        <rFont val="Times New Roman"/>
        <family val="1"/>
      </rPr>
      <t>*</t>
    </r>
  </si>
  <si>
    <r>
      <t>Valor Total Estimado</t>
    </r>
    <r>
      <rPr>
        <b/>
        <sz val="10"/>
        <color rgb="FFFF0000"/>
        <rFont val="Times New Roman"/>
        <family val="1"/>
      </rPr>
      <t>*</t>
    </r>
  </si>
  <si>
    <r>
      <t>Postos 1º e 2º Turnos</t>
    </r>
    <r>
      <rPr>
        <sz val="10"/>
        <color rgb="FFFF0000"/>
        <rFont val="Times New Roman"/>
        <family val="1"/>
      </rPr>
      <t>*</t>
    </r>
  </si>
  <si>
    <r>
      <t>Postos Pólos Temporários</t>
    </r>
    <r>
      <rPr>
        <sz val="10"/>
        <color rgb="FFFF0000"/>
        <rFont val="Times New Roman"/>
        <family val="1"/>
      </rPr>
      <t>*</t>
    </r>
  </si>
  <si>
    <r>
      <t>Horas Extras</t>
    </r>
    <r>
      <rPr>
        <sz val="10"/>
        <color rgb="FFFF0000"/>
        <rFont val="Times New Roman"/>
        <family val="1"/>
      </rPr>
      <t>*</t>
    </r>
  </si>
  <si>
    <t>Horas Extras - anos eleitorais - 2026</t>
  </si>
  <si>
    <r>
      <t>Interior
(demais locais)</t>
    </r>
    <r>
      <rPr>
        <b/>
        <sz val="10"/>
        <color rgb="FFFF0000"/>
        <rFont val="Times New Roman"/>
        <family val="1"/>
      </rPr>
      <t>*</t>
    </r>
  </si>
  <si>
    <r>
      <t>Quadro Resumo - Valor Total Estimado - a partir do 25º mês</t>
    </r>
    <r>
      <rPr>
        <b/>
        <sz val="12"/>
        <color rgb="FFFF0000"/>
        <rFont val="Times New Roman"/>
        <family val="1"/>
      </rPr>
      <t>*</t>
    </r>
  </si>
  <si>
    <t>I</t>
  </si>
  <si>
    <t>Prêmio de Boa Permanência</t>
  </si>
  <si>
    <t>Reserva de Cargo de Jovem Aprendiz</t>
  </si>
  <si>
    <t>Assistência Odontológica e Médica</t>
  </si>
  <si>
    <r>
      <rPr>
        <b/>
        <sz val="10"/>
        <color theme="1"/>
        <rFont val="Times New Roman"/>
        <family val="1"/>
      </rPr>
      <t>Postos Regulares</t>
    </r>
    <r>
      <rPr>
        <sz val="10"/>
        <color theme="1"/>
        <rFont val="Times New Roman"/>
        <family val="1"/>
      </rPr>
      <t xml:space="preserve"> - Alagoinhas, Barra, Barreiras, Brumado, Castro Alves, Cícero Dantas, Conceição do Coité, Conceição do Jacuípe, Coribe, Cruz das Almas, Eunápolis, Feira de Santana, Gandu, Guanambi, Ilhéus, Inhambupe, Ipirá, Ipiaú, Irecê, Itabuna, Itajibá, Itaparica, Ituberá, Jacobina, Jequié, Jeremoabo, Juazeiro, Livramento de Nossa Senhora, Mata de São João, Nazaré, Paulo Afonso, Porto Seguro, Remanso, Riacho de Santana, Ribeira do Pombal, São Felipe, São Francisco do Conde, Seabra, Serrinha, Tucano, Ubatã, Valença e Vitória da Conquista</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</si>
</sst>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 #,##0.00_-;_-* &quot;-&quot;??_-;_-@_-"/>
    <numFmt numFmtId="164" formatCode="_(* #,##0.00_);_(* \(#,##0.00\);_(* \-??_);_(@_)"/>
    <numFmt numFmtId="165" formatCode="_-* #,##0.0000_-;\-* #,##0.0000_-;_-* &quot;-&quot;??_-;_-@_-"/>
  </numFmts>
  <fonts count="13" x14ac:knownFonts="1">
    <font>
      <sz val="11"/>
      <color theme="1"/>
      <name val="Calibri"/>
      <family val="2"/>
      <scheme val="minor"/>
    </font>
    <font>
      <sz val="11"/>
      <color theme="1"/>
      <name val="Calibri"/>
      <family val="2"/>
      <scheme val="minor"/>
    </font>
    <font>
      <sz val="11"/>
      <color indexed="64"/>
      <name val="Calibri"/>
      <family val="2"/>
      <scheme val="minor"/>
    </font>
    <font>
      <sz val="10"/>
      <name val="Arial"/>
      <family val="2"/>
    </font>
    <font>
      <sz val="10"/>
      <color theme="1"/>
      <name val="Times New Roman"/>
      <family val="1"/>
    </font>
    <font>
      <b/>
      <sz val="10"/>
      <color theme="1"/>
      <name val="Times New Roman"/>
      <family val="1"/>
    </font>
    <font>
      <b/>
      <sz val="12"/>
      <color theme="0"/>
      <name val="Times New Roman"/>
      <family val="1"/>
    </font>
    <font>
      <b/>
      <i/>
      <sz val="10"/>
      <color theme="1"/>
      <name val="Times New Roman"/>
      <family val="1"/>
    </font>
    <font>
      <u/>
      <sz val="10"/>
      <color theme="1"/>
      <name val="Times New Roman"/>
      <family val="1"/>
    </font>
    <font>
      <b/>
      <sz val="12"/>
      <color theme="1"/>
      <name val="Times New Roman"/>
      <family val="1"/>
    </font>
    <font>
      <b/>
      <sz val="12"/>
      <color rgb="FFFF0000"/>
      <name val="Times New Roman"/>
      <family val="1"/>
    </font>
    <font>
      <sz val="10"/>
      <color rgb="FFFF0000"/>
      <name val="Times New Roman"/>
      <family val="1"/>
    </font>
    <font>
      <b/>
      <sz val="10"/>
      <color rgb="FFFF0000"/>
      <name val="Times New Roman"/>
      <family val="1"/>
    </font>
  </fonts>
  <fills count="8">
    <fill>
      <patternFill patternType="none"/>
    </fill>
    <fill>
      <patternFill patternType="gray125"/>
    </fill>
    <fill>
      <patternFill patternType="solid">
        <fgColor theme="5" tint="0.59999389629810485"/>
        <bgColor indexed="64"/>
      </patternFill>
    </fill>
    <fill>
      <patternFill patternType="solid">
        <fgColor theme="0" tint="-0.249977111117893"/>
        <bgColor indexed="64"/>
      </patternFill>
    </fill>
    <fill>
      <patternFill patternType="solid">
        <fgColor theme="1" tint="0.34998626667073579"/>
        <bgColor indexed="64"/>
      </patternFill>
    </fill>
    <fill>
      <patternFill patternType="solid">
        <fgColor theme="1" tint="0.499984740745262"/>
        <bgColor indexed="64"/>
      </patternFill>
    </fill>
    <fill>
      <patternFill patternType="solid">
        <fgColor theme="0" tint="-0.14999847407452621"/>
        <bgColor indexed="64"/>
      </patternFill>
    </fill>
    <fill>
      <patternFill patternType="solid">
        <fgColor theme="0" tint="-4.9989318521683403E-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hair">
        <color auto="1"/>
      </left>
      <right style="hair">
        <color auto="1"/>
      </right>
      <top style="hair">
        <color auto="1"/>
      </top>
      <bottom style="hair">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diagonal/>
    </border>
    <border>
      <left/>
      <right style="hair">
        <color auto="1"/>
      </right>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style="hair">
        <color auto="1"/>
      </left>
      <right style="hair">
        <color auto="1"/>
      </right>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s>
  <cellStyleXfs count="12">
    <xf numFmtId="0" fontId="0" fillId="0" borderId="0"/>
    <xf numFmtId="0" fontId="2" fillId="0" borderId="0"/>
    <xf numFmtId="164" fontId="3" fillId="0" borderId="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143">
    <xf numFmtId="0" fontId="0" fillId="0" borderId="0" xfId="0"/>
    <xf numFmtId="0" fontId="4" fillId="0" borderId="0" xfId="0" applyFont="1"/>
    <xf numFmtId="0" fontId="5" fillId="0" borderId="0" xfId="0" applyFont="1" applyFill="1" applyBorder="1" applyAlignment="1">
      <alignment horizontal="center" vertical="center"/>
    </xf>
    <xf numFmtId="0" fontId="5" fillId="0" borderId="0" xfId="0" applyFont="1" applyAlignment="1">
      <alignment vertical="center"/>
    </xf>
    <xf numFmtId="0" fontId="4" fillId="0" borderId="0" xfId="0" applyFont="1" applyAlignment="1">
      <alignment vertical="center"/>
    </xf>
    <xf numFmtId="0" fontId="4" fillId="0" borderId="1" xfId="0" applyFont="1" applyBorder="1"/>
    <xf numFmtId="0" fontId="5"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vertical="center" wrapText="1"/>
    </xf>
    <xf numFmtId="10" fontId="4" fillId="0" borderId="1" xfId="0" applyNumberFormat="1" applyFont="1" applyBorder="1" applyAlignment="1">
      <alignment horizontal="center" vertical="center" wrapText="1"/>
    </xf>
    <xf numFmtId="0" fontId="4" fillId="0" borderId="1" xfId="0" applyFont="1" applyBorder="1" applyAlignment="1">
      <alignment horizontal="justify" vertical="center" wrapText="1"/>
    </xf>
    <xf numFmtId="0" fontId="5" fillId="0" borderId="1" xfId="0" applyFont="1" applyBorder="1" applyAlignment="1">
      <alignment vertical="center" wrapText="1"/>
    </xf>
    <xf numFmtId="10" fontId="4" fillId="0" borderId="1" xfId="11" applyNumberFormat="1" applyFont="1" applyBorder="1" applyAlignment="1">
      <alignment horizontal="center" vertical="center" wrapText="1"/>
    </xf>
    <xf numFmtId="43" fontId="4" fillId="0" borderId="1" xfId="10" applyFont="1" applyBorder="1" applyAlignment="1">
      <alignment horizontal="center" vertical="center" wrapText="1"/>
    </xf>
    <xf numFmtId="43" fontId="4" fillId="0" borderId="1" xfId="0" applyNumberFormat="1" applyFont="1" applyBorder="1" applyAlignment="1">
      <alignment horizontal="center" vertical="center" wrapText="1"/>
    </xf>
    <xf numFmtId="10" fontId="5" fillId="0" borderId="1" xfId="0" applyNumberFormat="1" applyFont="1" applyBorder="1" applyAlignment="1">
      <alignment horizontal="center" vertical="center" wrapText="1"/>
    </xf>
    <xf numFmtId="10" fontId="4" fillId="2" borderId="1" xfId="11" applyNumberFormat="1" applyFont="1" applyFill="1" applyBorder="1" applyAlignment="1">
      <alignment horizontal="center" vertical="center" wrapText="1"/>
    </xf>
    <xf numFmtId="43" fontId="5" fillId="0" borderId="1" xfId="0" applyNumberFormat="1" applyFont="1" applyBorder="1" applyAlignment="1">
      <alignment horizontal="center" vertical="center" wrapText="1"/>
    </xf>
    <xf numFmtId="43" fontId="5" fillId="0" borderId="1" xfId="10" applyFont="1" applyBorder="1" applyAlignment="1">
      <alignment horizontal="center" vertical="center" wrapText="1"/>
    </xf>
    <xf numFmtId="10" fontId="7" fillId="0" borderId="3" xfId="11" applyNumberFormat="1" applyFont="1" applyBorder="1" applyAlignment="1">
      <alignment horizontal="center" vertical="center" wrapText="1"/>
    </xf>
    <xf numFmtId="43" fontId="4" fillId="0" borderId="1" xfId="0" applyNumberFormat="1" applyFont="1" applyBorder="1" applyAlignment="1">
      <alignment vertical="center" wrapText="1"/>
    </xf>
    <xf numFmtId="43" fontId="5" fillId="0" borderId="1" xfId="0" applyNumberFormat="1" applyFont="1" applyBorder="1" applyAlignment="1">
      <alignment vertical="center" wrapText="1"/>
    </xf>
    <xf numFmtId="43" fontId="4" fillId="0" borderId="1" xfId="10" applyFont="1" applyBorder="1" applyAlignment="1">
      <alignment vertical="center" wrapText="1"/>
    </xf>
    <xf numFmtId="0" fontId="4" fillId="0" borderId="1" xfId="0" applyFont="1" applyBorder="1" applyAlignment="1">
      <alignment vertical="center" wrapText="1"/>
    </xf>
    <xf numFmtId="0" fontId="6" fillId="0" borderId="0" xfId="0" applyFont="1" applyFill="1" applyAlignment="1">
      <alignment horizontal="center"/>
    </xf>
    <xf numFmtId="0" fontId="4" fillId="0" borderId="1" xfId="0" applyFont="1" applyBorder="1" applyAlignment="1">
      <alignment horizontal="left" vertical="center" wrapText="1"/>
    </xf>
    <xf numFmtId="10" fontId="5" fillId="0" borderId="3" xfId="0" applyNumberFormat="1" applyFont="1" applyBorder="1" applyAlignment="1">
      <alignment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1" xfId="0" applyFont="1" applyBorder="1" applyAlignment="1">
      <alignment vertical="center" wrapText="1"/>
    </xf>
    <xf numFmtId="0" fontId="5" fillId="0" borderId="1" xfId="0" applyFont="1" applyBorder="1" applyAlignment="1">
      <alignment vertical="center" wrapText="1"/>
    </xf>
    <xf numFmtId="0" fontId="4" fillId="0" borderId="1" xfId="0" applyFont="1" applyBorder="1" applyAlignment="1">
      <alignment vertical="center" wrapText="1"/>
    </xf>
    <xf numFmtId="0" fontId="5" fillId="0" borderId="1" xfId="0" applyFont="1" applyBorder="1" applyAlignment="1">
      <alignment horizontal="center" vertical="center" wrapText="1"/>
    </xf>
    <xf numFmtId="0" fontId="5" fillId="0" borderId="1" xfId="0" applyFont="1" applyBorder="1" applyAlignment="1">
      <alignment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xf>
    <xf numFmtId="10" fontId="4" fillId="0" borderId="3" xfId="11" applyNumberFormat="1" applyFont="1" applyBorder="1" applyAlignment="1">
      <alignment horizontal="center" vertical="center" wrapText="1"/>
    </xf>
    <xf numFmtId="0" fontId="4" fillId="0" borderId="1" xfId="0" applyFont="1" applyBorder="1" applyAlignment="1">
      <alignment vertical="center" wrapText="1"/>
    </xf>
    <xf numFmtId="0" fontId="5"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center" wrapText="1"/>
    </xf>
    <xf numFmtId="0" fontId="4" fillId="0" borderId="1" xfId="0" applyFont="1" applyBorder="1" applyAlignment="1">
      <alignment horizontal="center" vertical="center" wrapText="1"/>
    </xf>
    <xf numFmtId="0" fontId="5" fillId="0" borderId="0" xfId="0" applyFont="1"/>
    <xf numFmtId="0" fontId="4" fillId="0" borderId="5" xfId="0" applyFont="1" applyBorder="1" applyAlignment="1">
      <alignment horizontal="center" vertical="center"/>
    </xf>
    <xf numFmtId="0" fontId="4" fillId="0" borderId="5" xfId="0" applyFont="1" applyBorder="1"/>
    <xf numFmtId="0" fontId="4" fillId="0" borderId="14" xfId="0" applyFont="1" applyBorder="1"/>
    <xf numFmtId="0" fontId="4" fillId="0" borderId="15" xfId="0" applyFont="1" applyBorder="1"/>
    <xf numFmtId="43" fontId="4" fillId="0" borderId="16" xfId="0" applyNumberFormat="1" applyFont="1" applyBorder="1"/>
    <xf numFmtId="10" fontId="4" fillId="0" borderId="15" xfId="0" applyNumberFormat="1" applyFont="1" applyBorder="1"/>
    <xf numFmtId="9" fontId="4" fillId="0" borderId="15" xfId="0" applyNumberFormat="1" applyFont="1" applyBorder="1"/>
    <xf numFmtId="0" fontId="4" fillId="0" borderId="17" xfId="0" applyFont="1" applyBorder="1"/>
    <xf numFmtId="0" fontId="4" fillId="7" borderId="15" xfId="0" applyFont="1" applyFill="1" applyBorder="1"/>
    <xf numFmtId="0" fontId="4" fillId="7" borderId="17" xfId="0" applyFont="1" applyFill="1" applyBorder="1"/>
    <xf numFmtId="43" fontId="4" fillId="7" borderId="16" xfId="0" applyNumberFormat="1" applyFont="1" applyFill="1" applyBorder="1"/>
    <xf numFmtId="10" fontId="4" fillId="7" borderId="15" xfId="0" applyNumberFormat="1" applyFont="1" applyFill="1" applyBorder="1"/>
    <xf numFmtId="9" fontId="4" fillId="7" borderId="15" xfId="0" applyNumberFormat="1" applyFont="1" applyFill="1" applyBorder="1"/>
    <xf numFmtId="43" fontId="5" fillId="7" borderId="16" xfId="0" applyNumberFormat="1" applyFont="1" applyFill="1" applyBorder="1"/>
    <xf numFmtId="43" fontId="5" fillId="0" borderId="16" xfId="0" applyNumberFormat="1" applyFont="1" applyBorder="1"/>
    <xf numFmtId="0" fontId="5" fillId="0" borderId="5" xfId="0" applyFont="1" applyBorder="1"/>
    <xf numFmtId="0" fontId="4" fillId="0" borderId="5" xfId="0" applyFont="1" applyFill="1" applyBorder="1" applyAlignment="1">
      <alignment horizontal="center" vertical="center"/>
    </xf>
    <xf numFmtId="0" fontId="4" fillId="0" borderId="5" xfId="0" applyFont="1" applyFill="1" applyBorder="1"/>
    <xf numFmtId="43" fontId="4" fillId="0" borderId="0" xfId="0" applyNumberFormat="1" applyFont="1" applyAlignment="1">
      <alignment horizontal="center" vertical="center" wrapText="1"/>
    </xf>
    <xf numFmtId="43" fontId="4" fillId="0" borderId="5" xfId="0" applyNumberFormat="1" applyFont="1" applyBorder="1"/>
    <xf numFmtId="0" fontId="4" fillId="0" borderId="6" xfId="0" applyFont="1" applyFill="1" applyBorder="1"/>
    <xf numFmtId="0" fontId="4" fillId="0" borderId="7" xfId="0" applyFont="1" applyFill="1" applyBorder="1"/>
    <xf numFmtId="43" fontId="4" fillId="0" borderId="8" xfId="0" applyNumberFormat="1" applyFont="1" applyFill="1" applyBorder="1"/>
    <xf numFmtId="0" fontId="4" fillId="0" borderId="9" xfId="0" applyFont="1" applyFill="1" applyBorder="1"/>
    <xf numFmtId="0" fontId="4" fillId="0" borderId="0" xfId="0" applyFont="1" applyFill="1" applyBorder="1"/>
    <xf numFmtId="43" fontId="4" fillId="0" borderId="10" xfId="0" applyNumberFormat="1" applyFont="1" applyFill="1" applyBorder="1"/>
    <xf numFmtId="0" fontId="4" fillId="0" borderId="10" xfId="0" applyFont="1" applyFill="1" applyBorder="1"/>
    <xf numFmtId="0" fontId="4" fillId="0" borderId="11" xfId="0" applyFont="1" applyFill="1" applyBorder="1"/>
    <xf numFmtId="0" fontId="4" fillId="0" borderId="12" xfId="0" applyFont="1" applyFill="1" applyBorder="1"/>
    <xf numFmtId="0" fontId="4" fillId="0" borderId="13" xfId="0" applyFont="1" applyFill="1" applyBorder="1"/>
    <xf numFmtId="0" fontId="4" fillId="0" borderId="5" xfId="0" applyFont="1" applyBorder="1" applyAlignment="1">
      <alignment horizontal="center" vertical="center" wrapText="1"/>
    </xf>
    <xf numFmtId="43" fontId="4" fillId="0" borderId="5" xfId="0" applyNumberFormat="1" applyFont="1" applyBorder="1" applyAlignment="1">
      <alignment horizontal="center" vertical="center" wrapText="1"/>
    </xf>
    <xf numFmtId="43" fontId="5" fillId="0" borderId="5" xfId="0" applyNumberFormat="1" applyFont="1" applyBorder="1"/>
    <xf numFmtId="0" fontId="4" fillId="6" borderId="5" xfId="0" applyFont="1" applyFill="1" applyBorder="1" applyAlignment="1">
      <alignment horizontal="center" vertical="center" wrapText="1"/>
    </xf>
    <xf numFmtId="0" fontId="4" fillId="0" borderId="1" xfId="0" applyFont="1" applyBorder="1" applyAlignment="1">
      <alignment vertical="center" wrapText="1"/>
    </xf>
    <xf numFmtId="0" fontId="5" fillId="0" borderId="1"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vertical="center" wrapText="1"/>
    </xf>
    <xf numFmtId="165" fontId="4" fillId="0" borderId="0" xfId="0" applyNumberFormat="1" applyFont="1"/>
    <xf numFmtId="43" fontId="4" fillId="0" borderId="16" xfId="0" applyNumberFormat="1" applyFont="1" applyFill="1" applyBorder="1"/>
    <xf numFmtId="0" fontId="4" fillId="0" borderId="5" xfId="0" applyFont="1" applyBorder="1"/>
    <xf numFmtId="43" fontId="5" fillId="0" borderId="16" xfId="0" applyNumberFormat="1" applyFont="1" applyFill="1" applyBorder="1"/>
    <xf numFmtId="0" fontId="5" fillId="0" borderId="0" xfId="0" applyFont="1" applyAlignment="1">
      <alignment vertical="top"/>
    </xf>
    <xf numFmtId="0" fontId="4" fillId="0" borderId="0" xfId="0" applyFont="1" applyAlignment="1">
      <alignment vertical="top"/>
    </xf>
    <xf numFmtId="0" fontId="4" fillId="0" borderId="5" xfId="0" applyFont="1" applyBorder="1" applyAlignment="1">
      <alignment horizontal="center" vertical="center" wrapText="1"/>
    </xf>
    <xf numFmtId="0" fontId="4" fillId="0" borderId="5" xfId="0" applyFont="1" applyBorder="1" applyAlignment="1">
      <alignment horizontal="center" vertical="center" wrapText="1"/>
    </xf>
    <xf numFmtId="0" fontId="4" fillId="0" borderId="5" xfId="0" applyFont="1" applyBorder="1" applyAlignment="1">
      <alignment horizontal="center" vertical="center"/>
    </xf>
    <xf numFmtId="0" fontId="4" fillId="0" borderId="5" xfId="0" applyFont="1" applyBorder="1"/>
    <xf numFmtId="14" fontId="4" fillId="0" borderId="0" xfId="0" applyNumberFormat="1" applyFont="1" applyAlignment="1">
      <alignment horizontal="center" vertical="center" wrapText="1"/>
    </xf>
    <xf numFmtId="14" fontId="4" fillId="0" borderId="0" xfId="0" applyNumberFormat="1" applyFont="1"/>
    <xf numFmtId="0" fontId="4" fillId="0" borderId="1" xfId="0" applyFont="1" applyBorder="1" applyAlignment="1">
      <alignment horizontal="center" vertical="center" wrapText="1"/>
    </xf>
    <xf numFmtId="0" fontId="5" fillId="7" borderId="15" xfId="0" applyFont="1" applyFill="1" applyBorder="1" applyAlignment="1">
      <alignment vertical="top"/>
    </xf>
    <xf numFmtId="0" fontId="5" fillId="7" borderId="17" xfId="0" applyFont="1" applyFill="1" applyBorder="1" applyAlignment="1">
      <alignment vertical="top"/>
    </xf>
    <xf numFmtId="0" fontId="5" fillId="3" borderId="0" xfId="0" applyFont="1" applyFill="1" applyBorder="1" applyAlignment="1">
      <alignment horizontal="center" vertical="center"/>
    </xf>
    <xf numFmtId="0" fontId="5" fillId="0" borderId="1" xfId="0" applyFont="1" applyBorder="1" applyAlignment="1">
      <alignment horizontal="left" vertical="center" wrapText="1"/>
    </xf>
    <xf numFmtId="0" fontId="5" fillId="0" borderId="1" xfId="0" applyFont="1" applyBorder="1" applyAlignment="1">
      <alignment horizontal="center" vertical="center" wrapText="1"/>
    </xf>
    <xf numFmtId="0" fontId="5" fillId="5" borderId="0" xfId="0" applyFont="1" applyFill="1" applyAlignment="1">
      <alignment horizontal="center" vertical="center"/>
    </xf>
    <xf numFmtId="0" fontId="4" fillId="0" borderId="1" xfId="0" applyFont="1" applyBorder="1" applyAlignment="1">
      <alignment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4" fillId="0" borderId="2" xfId="0" applyFont="1" applyBorder="1" applyAlignment="1">
      <alignment horizontal="center"/>
    </xf>
    <xf numFmtId="0" fontId="4" fillId="0" borderId="3" xfId="0" applyFont="1" applyBorder="1" applyAlignment="1">
      <alignment horizontal="center"/>
    </xf>
    <xf numFmtId="14" fontId="4" fillId="0" borderId="2" xfId="0" applyNumberFormat="1" applyFont="1" applyBorder="1" applyAlignment="1">
      <alignment horizontal="center"/>
    </xf>
    <xf numFmtId="0" fontId="5" fillId="5" borderId="0" xfId="0" applyFont="1" applyFill="1" applyBorder="1" applyAlignment="1">
      <alignment horizontal="center" vertical="center"/>
    </xf>
    <xf numFmtId="0" fontId="4" fillId="0" borderId="2" xfId="0" applyFont="1" applyBorder="1" applyAlignment="1">
      <alignment vertical="center" wrapText="1"/>
    </xf>
    <xf numFmtId="0" fontId="4" fillId="0" borderId="3" xfId="0" applyFont="1" applyBorder="1" applyAlignment="1">
      <alignment vertical="center" wrapText="1"/>
    </xf>
    <xf numFmtId="0" fontId="5" fillId="0" borderId="1" xfId="0" applyFont="1" applyBorder="1" applyAlignment="1">
      <alignment vertical="center" wrapText="1"/>
    </xf>
    <xf numFmtId="0" fontId="5" fillId="0" borderId="4" xfId="0" applyFont="1" applyBorder="1" applyAlignment="1">
      <alignment horizontal="center" vertical="center" wrapText="1"/>
    </xf>
    <xf numFmtId="0" fontId="6" fillId="4" borderId="0" xfId="0" applyFont="1" applyFill="1" applyAlignment="1">
      <alignment horizontal="center"/>
    </xf>
    <xf numFmtId="0" fontId="5" fillId="3" borderId="0" xfId="0" applyFont="1" applyFill="1" applyBorder="1" applyAlignment="1">
      <alignment horizontal="center" vertical="center" wrapText="1"/>
    </xf>
    <xf numFmtId="0" fontId="4" fillId="0" borderId="1" xfId="0" applyFont="1" applyBorder="1" applyAlignment="1">
      <alignment horizontal="center" vertical="center" wrapText="1"/>
    </xf>
    <xf numFmtId="0" fontId="5" fillId="7" borderId="15" xfId="0" applyFont="1" applyFill="1" applyBorder="1" applyAlignment="1">
      <alignment horizontal="center" vertical="top"/>
    </xf>
    <xf numFmtId="0" fontId="5" fillId="7" borderId="17" xfId="0" applyFont="1" applyFill="1" applyBorder="1" applyAlignment="1">
      <alignment horizontal="center" vertical="top"/>
    </xf>
    <xf numFmtId="0" fontId="5" fillId="7" borderId="16" xfId="0" applyFont="1" applyFill="1" applyBorder="1" applyAlignment="1">
      <alignment horizontal="center" vertical="top"/>
    </xf>
    <xf numFmtId="0" fontId="4" fillId="0" borderId="5" xfId="0" applyFont="1" applyBorder="1" applyAlignment="1">
      <alignment horizontal="center" vertical="center" wrapText="1"/>
    </xf>
    <xf numFmtId="0" fontId="5" fillId="0" borderId="5" xfId="0" applyFont="1" applyBorder="1" applyAlignment="1">
      <alignment horizontal="center" vertical="top" wrapText="1"/>
    </xf>
    <xf numFmtId="0" fontId="5" fillId="0" borderId="5" xfId="0" applyFont="1" applyBorder="1" applyAlignment="1">
      <alignment horizontal="center" vertical="top"/>
    </xf>
    <xf numFmtId="0" fontId="4" fillId="7" borderId="16" xfId="0" applyFont="1" applyFill="1" applyBorder="1" applyAlignment="1">
      <alignment horizontal="center" vertical="center" wrapText="1"/>
    </xf>
    <xf numFmtId="0" fontId="4" fillId="7" borderId="5" xfId="0" applyFont="1" applyFill="1" applyBorder="1" applyAlignment="1">
      <alignment horizontal="center" vertical="center" wrapText="1"/>
    </xf>
    <xf numFmtId="0" fontId="5" fillId="7" borderId="5" xfId="0" applyFont="1" applyFill="1" applyBorder="1" applyAlignment="1">
      <alignment horizontal="center"/>
    </xf>
    <xf numFmtId="0" fontId="5" fillId="0" borderId="5" xfId="0" applyFont="1" applyBorder="1" applyAlignment="1">
      <alignment horizontal="center"/>
    </xf>
    <xf numFmtId="0" fontId="5" fillId="6" borderId="5" xfId="0" applyFont="1" applyFill="1" applyBorder="1" applyAlignment="1">
      <alignment horizontal="center"/>
    </xf>
    <xf numFmtId="43" fontId="4" fillId="7" borderId="16" xfId="0" applyNumberFormat="1" applyFont="1" applyFill="1" applyBorder="1" applyAlignment="1">
      <alignment horizontal="center" vertical="center"/>
    </xf>
    <xf numFmtId="0" fontId="4" fillId="7" borderId="5" xfId="0" applyFont="1" applyFill="1" applyBorder="1" applyAlignment="1">
      <alignment horizontal="center" vertical="center"/>
    </xf>
    <xf numFmtId="43" fontId="4" fillId="0" borderId="5" xfId="0" applyNumberFormat="1" applyFont="1" applyBorder="1" applyAlignment="1">
      <alignment horizontal="center" vertical="center"/>
    </xf>
    <xf numFmtId="0" fontId="4" fillId="0" borderId="5" xfId="0" applyFont="1" applyBorder="1" applyAlignment="1">
      <alignment horizontal="center" vertical="center"/>
    </xf>
    <xf numFmtId="43" fontId="4" fillId="6" borderId="5" xfId="0" applyNumberFormat="1" applyFont="1" applyFill="1" applyBorder="1" applyAlignment="1">
      <alignment horizontal="center" vertical="center"/>
    </xf>
    <xf numFmtId="0" fontId="4" fillId="6" borderId="5" xfId="0" applyFont="1" applyFill="1" applyBorder="1" applyAlignment="1">
      <alignment horizontal="center" vertical="center"/>
    </xf>
    <xf numFmtId="43" fontId="5" fillId="6" borderId="15" xfId="10" applyFont="1" applyFill="1" applyBorder="1" applyAlignment="1">
      <alignment horizontal="center"/>
    </xf>
    <xf numFmtId="43" fontId="5" fillId="6" borderId="16" xfId="10" applyFont="1" applyFill="1" applyBorder="1" applyAlignment="1">
      <alignment horizontal="center"/>
    </xf>
    <xf numFmtId="0" fontId="4" fillId="0" borderId="5" xfId="0" applyFont="1" applyBorder="1"/>
    <xf numFmtId="0" fontId="4" fillId="0" borderId="0" xfId="0" applyFont="1" applyAlignment="1">
      <alignment wrapText="1"/>
    </xf>
    <xf numFmtId="0" fontId="4" fillId="0" borderId="0" xfId="0" applyFont="1" applyAlignment="1">
      <alignment horizontal="left" vertical="center" wrapText="1"/>
    </xf>
    <xf numFmtId="0" fontId="4" fillId="0" borderId="0" xfId="0" applyFont="1" applyAlignment="1">
      <alignment vertical="center" wrapText="1"/>
    </xf>
    <xf numFmtId="0" fontId="9" fillId="0" borderId="0" xfId="0" applyFont="1" applyAlignment="1">
      <alignment horizontal="center"/>
    </xf>
    <xf numFmtId="0" fontId="4" fillId="0" borderId="5" xfId="0" applyFont="1" applyBorder="1" applyAlignment="1">
      <alignment horizontal="center"/>
    </xf>
    <xf numFmtId="0" fontId="5" fillId="6" borderId="5" xfId="0" applyFont="1" applyFill="1" applyBorder="1" applyAlignment="1">
      <alignment horizontal="center" vertical="center" wrapText="1"/>
    </xf>
    <xf numFmtId="43" fontId="5" fillId="6" borderId="5" xfId="10" applyFont="1" applyFill="1" applyBorder="1" applyAlignment="1">
      <alignment horizontal="center" vertical="center"/>
    </xf>
    <xf numFmtId="0" fontId="5" fillId="0" borderId="12" xfId="0" applyFont="1" applyBorder="1" applyAlignment="1">
      <alignment horizontal="center" vertical="center" wrapText="1"/>
    </xf>
    <xf numFmtId="0" fontId="4" fillId="0" borderId="12" xfId="0" applyFont="1" applyBorder="1" applyAlignment="1">
      <alignment horizontal="center" vertical="center" wrapText="1"/>
    </xf>
  </cellXfs>
  <cellStyles count="12">
    <cellStyle name="Normal" xfId="0" builtinId="0"/>
    <cellStyle name="Normal 2" xfId="1"/>
    <cellStyle name="Porcentagem" xfId="11" builtinId="5"/>
    <cellStyle name="Vírgula" xfId="10" builtinId="3"/>
    <cellStyle name="Vírgula 2" xfId="2"/>
    <cellStyle name="Vírgula 3" xfId="3"/>
    <cellStyle name="Vírgula 3 2" xfId="4"/>
    <cellStyle name="Vírgula 4" xfId="5"/>
    <cellStyle name="Vírgula 4 2" xfId="6"/>
    <cellStyle name="Vírgula 5" xfId="7"/>
    <cellStyle name="Vírgula 5 2" xfId="8"/>
    <cellStyle name="Vírgula 6"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0</xdr:row>
      <xdr:rowOff>0</xdr:rowOff>
    </xdr:from>
    <xdr:to>
      <xdr:col>5</xdr:col>
      <xdr:colOff>24842</xdr:colOff>
      <xdr:row>6</xdr:row>
      <xdr:rowOff>82826</xdr:rowOff>
    </xdr:to>
    <xdr:pic>
      <xdr:nvPicPr>
        <xdr:cNvPr id="2" name="Imagem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762250" y="0"/>
          <a:ext cx="2834717" cy="105437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0</xdr:colOff>
      <xdr:row>0</xdr:row>
      <xdr:rowOff>0</xdr:rowOff>
    </xdr:from>
    <xdr:to>
      <xdr:col>5</xdr:col>
      <xdr:colOff>24842</xdr:colOff>
      <xdr:row>6</xdr:row>
      <xdr:rowOff>82826</xdr:rowOff>
    </xdr:to>
    <xdr:pic>
      <xdr:nvPicPr>
        <xdr:cNvPr id="2" name="Imagem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762250" y="0"/>
          <a:ext cx="2834717" cy="1054376"/>
        </a:xfrm>
        <a:prstGeom prst="rect">
          <a:avLst/>
        </a:prstGeom>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56"/>
  <sheetViews>
    <sheetView topLeftCell="A91" zoomScale="115" zoomScaleNormal="115" workbookViewId="0">
      <selection activeCell="F15" sqref="F15:G15"/>
    </sheetView>
  </sheetViews>
  <sheetFormatPr defaultRowHeight="12.75" x14ac:dyDescent="0.2"/>
  <cols>
    <col min="1" max="1" width="9.140625" style="1"/>
    <col min="2" max="2" width="60.28515625" style="1" customWidth="1"/>
    <col min="3" max="3" width="18" style="1" customWidth="1"/>
    <col min="4" max="4" width="21.42578125" style="1" customWidth="1"/>
    <col min="5" max="5" width="15.140625" style="1" customWidth="1"/>
    <col min="6" max="16384" width="9.140625" style="1"/>
  </cols>
  <sheetData>
    <row r="1" spans="1:4" ht="15.75" x14ac:dyDescent="0.25">
      <c r="A1" s="111" t="s">
        <v>0</v>
      </c>
      <c r="B1" s="111"/>
      <c r="C1" s="111"/>
      <c r="D1" s="111"/>
    </row>
    <row r="2" spans="1:4" ht="15.75" x14ac:dyDescent="0.25">
      <c r="A2" s="24"/>
      <c r="B2" s="24"/>
      <c r="C2" s="24"/>
      <c r="D2" s="24"/>
    </row>
    <row r="3" spans="1:4" x14ac:dyDescent="0.2">
      <c r="A3" s="106" t="s">
        <v>89</v>
      </c>
      <c r="B3" s="106"/>
      <c r="C3" s="106"/>
      <c r="D3" s="106"/>
    </row>
    <row r="4" spans="1:4" x14ac:dyDescent="0.2">
      <c r="A4" s="2"/>
      <c r="B4" s="2"/>
      <c r="C4" s="2"/>
      <c r="D4" s="2"/>
    </row>
    <row r="5" spans="1:4" ht="38.25" x14ac:dyDescent="0.2">
      <c r="A5" s="113" t="s">
        <v>90</v>
      </c>
      <c r="B5" s="113"/>
      <c r="C5" s="7" t="s">
        <v>91</v>
      </c>
      <c r="D5" s="25" t="s">
        <v>92</v>
      </c>
    </row>
    <row r="6" spans="1:4" ht="25.5" customHeight="1" x14ac:dyDescent="0.2">
      <c r="A6" s="101" t="s">
        <v>99</v>
      </c>
      <c r="B6" s="102"/>
      <c r="C6" s="35" t="s">
        <v>100</v>
      </c>
      <c r="D6" s="35">
        <v>1</v>
      </c>
    </row>
    <row r="8" spans="1:4" x14ac:dyDescent="0.2">
      <c r="A8" s="106" t="s">
        <v>73</v>
      </c>
      <c r="B8" s="106"/>
      <c r="C8" s="106"/>
      <c r="D8" s="106"/>
    </row>
    <row r="9" spans="1:4" x14ac:dyDescent="0.2">
      <c r="A9" s="2"/>
      <c r="B9" s="2"/>
      <c r="C9" s="2"/>
      <c r="D9" s="2"/>
    </row>
    <row r="10" spans="1:4" x14ac:dyDescent="0.2">
      <c r="A10" s="5">
        <v>1</v>
      </c>
      <c r="B10" s="5" t="s">
        <v>74</v>
      </c>
      <c r="C10" s="103" t="s">
        <v>101</v>
      </c>
      <c r="D10" s="104"/>
    </row>
    <row r="11" spans="1:4" x14ac:dyDescent="0.2">
      <c r="A11" s="5">
        <v>2</v>
      </c>
      <c r="B11" s="5" t="s">
        <v>93</v>
      </c>
      <c r="C11" s="103">
        <v>517330</v>
      </c>
      <c r="D11" s="104"/>
    </row>
    <row r="12" spans="1:4" x14ac:dyDescent="0.2">
      <c r="A12" s="5">
        <v>3</v>
      </c>
      <c r="B12" s="5" t="s">
        <v>75</v>
      </c>
      <c r="C12" s="103">
        <v>1471.22</v>
      </c>
      <c r="D12" s="104"/>
    </row>
    <row r="13" spans="1:4" x14ac:dyDescent="0.2">
      <c r="A13" s="5">
        <v>4</v>
      </c>
      <c r="B13" s="5" t="s">
        <v>76</v>
      </c>
      <c r="C13" s="103" t="s">
        <v>102</v>
      </c>
      <c r="D13" s="104"/>
    </row>
    <row r="14" spans="1:4" x14ac:dyDescent="0.2">
      <c r="A14" s="5">
        <v>5</v>
      </c>
      <c r="B14" s="5" t="s">
        <v>77</v>
      </c>
      <c r="C14" s="105">
        <v>45292</v>
      </c>
      <c r="D14" s="104"/>
    </row>
    <row r="16" spans="1:4" x14ac:dyDescent="0.2">
      <c r="A16" s="106" t="s">
        <v>1</v>
      </c>
      <c r="B16" s="106"/>
      <c r="C16" s="106"/>
      <c r="D16" s="106"/>
    </row>
    <row r="18" spans="1:4" x14ac:dyDescent="0.2">
      <c r="A18" s="6">
        <v>1</v>
      </c>
      <c r="B18" s="98" t="s">
        <v>2</v>
      </c>
      <c r="C18" s="98"/>
      <c r="D18" s="6" t="s">
        <v>3</v>
      </c>
    </row>
    <row r="19" spans="1:4" x14ac:dyDescent="0.2">
      <c r="A19" s="7" t="s">
        <v>4</v>
      </c>
      <c r="B19" s="100" t="s">
        <v>5</v>
      </c>
      <c r="C19" s="100"/>
      <c r="D19" s="13">
        <v>1471.22</v>
      </c>
    </row>
    <row r="20" spans="1:4" x14ac:dyDescent="0.2">
      <c r="A20" s="7" t="s">
        <v>6</v>
      </c>
      <c r="B20" s="100" t="s">
        <v>7</v>
      </c>
      <c r="C20" s="100"/>
      <c r="D20" s="13">
        <f>D19*0.3</f>
        <v>441.36599999999999</v>
      </c>
    </row>
    <row r="21" spans="1:4" x14ac:dyDescent="0.2">
      <c r="A21" s="7" t="s">
        <v>8</v>
      </c>
      <c r="B21" s="100" t="s">
        <v>9</v>
      </c>
      <c r="C21" s="100"/>
      <c r="D21" s="13"/>
    </row>
    <row r="22" spans="1:4" x14ac:dyDescent="0.2">
      <c r="A22" s="7" t="s">
        <v>10</v>
      </c>
      <c r="B22" s="100" t="s">
        <v>11</v>
      </c>
      <c r="C22" s="100"/>
      <c r="D22" s="13"/>
    </row>
    <row r="23" spans="1:4" x14ac:dyDescent="0.2">
      <c r="A23" s="7" t="s">
        <v>12</v>
      </c>
      <c r="B23" s="100" t="s">
        <v>13</v>
      </c>
      <c r="C23" s="100"/>
      <c r="D23" s="13"/>
    </row>
    <row r="24" spans="1:4" x14ac:dyDescent="0.2">
      <c r="A24" s="7" t="s">
        <v>31</v>
      </c>
      <c r="B24" s="100" t="s">
        <v>103</v>
      </c>
      <c r="C24" s="100"/>
      <c r="D24" s="13">
        <f>D19*0.5</f>
        <v>735.61</v>
      </c>
    </row>
    <row r="25" spans="1:4" x14ac:dyDescent="0.2">
      <c r="A25" s="7" t="s">
        <v>14</v>
      </c>
      <c r="B25" s="100" t="s">
        <v>15</v>
      </c>
      <c r="C25" s="100"/>
      <c r="D25" s="13"/>
    </row>
    <row r="26" spans="1:4" x14ac:dyDescent="0.2">
      <c r="A26" s="98" t="s">
        <v>16</v>
      </c>
      <c r="B26" s="98"/>
      <c r="C26" s="98"/>
      <c r="D26" s="18">
        <f>SUM(D19:D25)</f>
        <v>2648.1959999999999</v>
      </c>
    </row>
    <row r="29" spans="1:4" x14ac:dyDescent="0.2">
      <c r="A29" s="99" t="s">
        <v>17</v>
      </c>
      <c r="B29" s="99"/>
      <c r="C29" s="99"/>
      <c r="D29" s="99"/>
    </row>
    <row r="30" spans="1:4" x14ac:dyDescent="0.2">
      <c r="A30" s="3"/>
    </row>
    <row r="31" spans="1:4" x14ac:dyDescent="0.2">
      <c r="A31" s="96" t="s">
        <v>18</v>
      </c>
      <c r="B31" s="96"/>
      <c r="C31" s="96"/>
      <c r="D31" s="96"/>
    </row>
    <row r="33" spans="1:4" x14ac:dyDescent="0.2">
      <c r="A33" s="6" t="s">
        <v>19</v>
      </c>
      <c r="B33" s="98" t="s">
        <v>20</v>
      </c>
      <c r="C33" s="98"/>
      <c r="D33" s="6" t="s">
        <v>3</v>
      </c>
    </row>
    <row r="34" spans="1:4" x14ac:dyDescent="0.2">
      <c r="A34" s="7" t="s">
        <v>4</v>
      </c>
      <c r="B34" s="8" t="s">
        <v>21</v>
      </c>
      <c r="C34" s="12">
        <f>TRUNC(1/12,4)</f>
        <v>8.3299999999999999E-2</v>
      </c>
      <c r="D34" s="13">
        <f>TRUNC($D$26*C34,2)</f>
        <v>220.59</v>
      </c>
    </row>
    <row r="35" spans="1:4" x14ac:dyDescent="0.2">
      <c r="A35" s="7" t="s">
        <v>6</v>
      </c>
      <c r="B35" s="8" t="s">
        <v>117</v>
      </c>
      <c r="C35" s="12">
        <f>TRUNC(((1)/12),4)</f>
        <v>8.3299999999999999E-2</v>
      </c>
      <c r="D35" s="13">
        <f>TRUNC($D$26*C35,2)</f>
        <v>220.59</v>
      </c>
    </row>
    <row r="36" spans="1:4" x14ac:dyDescent="0.2">
      <c r="A36" s="34" t="s">
        <v>8</v>
      </c>
      <c r="B36" s="31" t="s">
        <v>118</v>
      </c>
      <c r="C36" s="36">
        <f>TRUNC(((1/3)/12),4)</f>
        <v>2.7699999999999999E-2</v>
      </c>
      <c r="D36" s="13">
        <f>TRUNC($D$26*C36,2)</f>
        <v>73.349999999999994</v>
      </c>
    </row>
    <row r="37" spans="1:4" x14ac:dyDescent="0.2">
      <c r="A37" s="98" t="s">
        <v>16</v>
      </c>
      <c r="B37" s="98"/>
      <c r="C37" s="26">
        <f>SUM(C34:C36)</f>
        <v>0.1943</v>
      </c>
      <c r="D37" s="17">
        <f>SUM(D34:D36)</f>
        <v>514.53</v>
      </c>
    </row>
    <row r="40" spans="1:4" x14ac:dyDescent="0.2">
      <c r="A40" s="112" t="s">
        <v>22</v>
      </c>
      <c r="B40" s="112"/>
      <c r="C40" s="112"/>
      <c r="D40" s="112"/>
    </row>
    <row r="42" spans="1:4" x14ac:dyDescent="0.2">
      <c r="A42" s="6" t="s">
        <v>23</v>
      </c>
      <c r="B42" s="6" t="s">
        <v>24</v>
      </c>
      <c r="C42" s="6" t="s">
        <v>25</v>
      </c>
      <c r="D42" s="6" t="s">
        <v>3</v>
      </c>
    </row>
    <row r="43" spans="1:4" x14ac:dyDescent="0.2">
      <c r="A43" s="7" t="s">
        <v>4</v>
      </c>
      <c r="B43" s="8" t="s">
        <v>26</v>
      </c>
      <c r="C43" s="9">
        <v>0.2</v>
      </c>
      <c r="D43" s="13">
        <f>TRUNC(($D$26+$D$37)*C43,2)</f>
        <v>632.54</v>
      </c>
    </row>
    <row r="44" spans="1:4" x14ac:dyDescent="0.2">
      <c r="A44" s="7" t="s">
        <v>6</v>
      </c>
      <c r="B44" s="8" t="s">
        <v>27</v>
      </c>
      <c r="C44" s="9">
        <v>2.5000000000000001E-2</v>
      </c>
      <c r="D44" s="13">
        <f t="shared" ref="D44:D50" si="0">TRUNC(($D$26+$D$37)*C44,2)</f>
        <v>79.06</v>
      </c>
    </row>
    <row r="45" spans="1:4" x14ac:dyDescent="0.2">
      <c r="A45" s="7" t="s">
        <v>8</v>
      </c>
      <c r="B45" s="8" t="s">
        <v>28</v>
      </c>
      <c r="C45" s="16">
        <v>0.03</v>
      </c>
      <c r="D45" s="13">
        <f t="shared" si="0"/>
        <v>94.88</v>
      </c>
    </row>
    <row r="46" spans="1:4" x14ac:dyDescent="0.2">
      <c r="A46" s="7" t="s">
        <v>10</v>
      </c>
      <c r="B46" s="8" t="s">
        <v>29</v>
      </c>
      <c r="C46" s="9">
        <v>1.4999999999999999E-2</v>
      </c>
      <c r="D46" s="13">
        <f t="shared" si="0"/>
        <v>47.44</v>
      </c>
    </row>
    <row r="47" spans="1:4" x14ac:dyDescent="0.2">
      <c r="A47" s="7" t="s">
        <v>12</v>
      </c>
      <c r="B47" s="8" t="s">
        <v>30</v>
      </c>
      <c r="C47" s="9">
        <v>0.01</v>
      </c>
      <c r="D47" s="13">
        <f t="shared" si="0"/>
        <v>31.62</v>
      </c>
    </row>
    <row r="48" spans="1:4" x14ac:dyDescent="0.2">
      <c r="A48" s="7" t="s">
        <v>31</v>
      </c>
      <c r="B48" s="8" t="s">
        <v>32</v>
      </c>
      <c r="C48" s="9">
        <v>6.0000000000000001E-3</v>
      </c>
      <c r="D48" s="13">
        <f t="shared" si="0"/>
        <v>18.97</v>
      </c>
    </row>
    <row r="49" spans="1:4" x14ac:dyDescent="0.2">
      <c r="A49" s="7" t="s">
        <v>14</v>
      </c>
      <c r="B49" s="8" t="s">
        <v>33</v>
      </c>
      <c r="C49" s="9">
        <v>2E-3</v>
      </c>
      <c r="D49" s="13">
        <f t="shared" si="0"/>
        <v>6.32</v>
      </c>
    </row>
    <row r="50" spans="1:4" x14ac:dyDescent="0.2">
      <c r="A50" s="7" t="s">
        <v>34</v>
      </c>
      <c r="B50" s="8" t="s">
        <v>35</v>
      </c>
      <c r="C50" s="9">
        <v>0.08</v>
      </c>
      <c r="D50" s="13">
        <f t="shared" si="0"/>
        <v>253.01</v>
      </c>
    </row>
    <row r="51" spans="1:4" x14ac:dyDescent="0.2">
      <c r="A51" s="98" t="s">
        <v>36</v>
      </c>
      <c r="B51" s="98"/>
      <c r="C51" s="15">
        <f>SUM(C43:C50)</f>
        <v>0.36800000000000005</v>
      </c>
      <c r="D51" s="17">
        <f>SUM(D43:D50)</f>
        <v>1163.8399999999999</v>
      </c>
    </row>
    <row r="54" spans="1:4" x14ac:dyDescent="0.2">
      <c r="A54" s="96" t="s">
        <v>37</v>
      </c>
      <c r="B54" s="96"/>
      <c r="C54" s="96"/>
      <c r="D54" s="96"/>
    </row>
    <row r="56" spans="1:4" x14ac:dyDescent="0.2">
      <c r="A56" s="6" t="s">
        <v>38</v>
      </c>
      <c r="B56" s="97" t="s">
        <v>39</v>
      </c>
      <c r="C56" s="97"/>
      <c r="D56" s="6" t="s">
        <v>3</v>
      </c>
    </row>
    <row r="57" spans="1:4" x14ac:dyDescent="0.2">
      <c r="A57" s="7" t="s">
        <v>4</v>
      </c>
      <c r="B57" s="100" t="s">
        <v>40</v>
      </c>
      <c r="C57" s="100"/>
      <c r="D57" s="13">
        <f>(22*2*5.2)-(D19*0.06)</f>
        <v>140.52680000000001</v>
      </c>
    </row>
    <row r="58" spans="1:4" x14ac:dyDescent="0.2">
      <c r="A58" s="7" t="s">
        <v>6</v>
      </c>
      <c r="B58" s="100" t="s">
        <v>41</v>
      </c>
      <c r="C58" s="100"/>
      <c r="D58" s="13">
        <f>16.59*22*0.85</f>
        <v>310.233</v>
      </c>
    </row>
    <row r="59" spans="1:4" x14ac:dyDescent="0.2">
      <c r="A59" s="27" t="s">
        <v>8</v>
      </c>
      <c r="B59" s="100" t="s">
        <v>110</v>
      </c>
      <c r="C59" s="100"/>
      <c r="D59" s="13"/>
    </row>
    <row r="60" spans="1:4" x14ac:dyDescent="0.2">
      <c r="A60" s="27" t="s">
        <v>10</v>
      </c>
      <c r="B60" s="100" t="s">
        <v>104</v>
      </c>
      <c r="C60" s="100"/>
      <c r="D60" s="13">
        <v>8.5</v>
      </c>
    </row>
    <row r="61" spans="1:4" x14ac:dyDescent="0.2">
      <c r="A61" s="27" t="s">
        <v>12</v>
      </c>
      <c r="B61" s="100" t="s">
        <v>105</v>
      </c>
      <c r="C61" s="100"/>
      <c r="D61" s="13">
        <v>3.5</v>
      </c>
    </row>
    <row r="62" spans="1:4" x14ac:dyDescent="0.2">
      <c r="A62" s="27" t="s">
        <v>31</v>
      </c>
      <c r="B62" s="100" t="s">
        <v>111</v>
      </c>
      <c r="C62" s="100"/>
      <c r="D62" s="13"/>
    </row>
    <row r="63" spans="1:4" x14ac:dyDescent="0.2">
      <c r="A63" s="41" t="s">
        <v>14</v>
      </c>
      <c r="B63" s="100" t="s">
        <v>179</v>
      </c>
      <c r="C63" s="100"/>
      <c r="D63" s="13">
        <f>(13.04*8)/12</f>
        <v>8.6933333333333334</v>
      </c>
    </row>
    <row r="64" spans="1:4" x14ac:dyDescent="0.2">
      <c r="A64" s="93" t="s">
        <v>34</v>
      </c>
      <c r="B64" s="100" t="s">
        <v>207</v>
      </c>
      <c r="C64" s="100"/>
      <c r="D64" s="13">
        <f>D19*0.22*(21/24)</f>
        <v>283.20985000000002</v>
      </c>
    </row>
    <row r="65" spans="1:4" x14ac:dyDescent="0.2">
      <c r="A65" s="93" t="s">
        <v>206</v>
      </c>
      <c r="B65" s="100" t="s">
        <v>209</v>
      </c>
      <c r="C65" s="100"/>
      <c r="D65" s="13">
        <f>233.73*(2/3)</f>
        <v>155.82</v>
      </c>
    </row>
    <row r="66" spans="1:4" x14ac:dyDescent="0.2">
      <c r="A66" s="98" t="s">
        <v>16</v>
      </c>
      <c r="B66" s="98"/>
      <c r="C66" s="98"/>
      <c r="D66" s="17">
        <f>SUM(D57:D65)</f>
        <v>910.48298333333332</v>
      </c>
    </row>
    <row r="69" spans="1:4" x14ac:dyDescent="0.2">
      <c r="A69" s="96" t="s">
        <v>42</v>
      </c>
      <c r="B69" s="96"/>
      <c r="C69" s="96"/>
      <c r="D69" s="96"/>
    </row>
    <row r="71" spans="1:4" x14ac:dyDescent="0.2">
      <c r="A71" s="6">
        <v>2</v>
      </c>
      <c r="B71" s="97" t="s">
        <v>43</v>
      </c>
      <c r="C71" s="97"/>
      <c r="D71" s="6" t="s">
        <v>3</v>
      </c>
    </row>
    <row r="72" spans="1:4" x14ac:dyDescent="0.2">
      <c r="A72" s="7" t="s">
        <v>19</v>
      </c>
      <c r="B72" s="100" t="s">
        <v>20</v>
      </c>
      <c r="C72" s="100"/>
      <c r="D72" s="14">
        <f>D37</f>
        <v>514.53</v>
      </c>
    </row>
    <row r="73" spans="1:4" x14ac:dyDescent="0.2">
      <c r="A73" s="7" t="s">
        <v>23</v>
      </c>
      <c r="B73" s="100" t="s">
        <v>24</v>
      </c>
      <c r="C73" s="100"/>
      <c r="D73" s="14">
        <f>D51</f>
        <v>1163.8399999999999</v>
      </c>
    </row>
    <row r="74" spans="1:4" x14ac:dyDescent="0.2">
      <c r="A74" s="7" t="s">
        <v>38</v>
      </c>
      <c r="B74" s="100" t="s">
        <v>39</v>
      </c>
      <c r="C74" s="100"/>
      <c r="D74" s="14">
        <f>D66</f>
        <v>910.48298333333332</v>
      </c>
    </row>
    <row r="75" spans="1:4" x14ac:dyDescent="0.2">
      <c r="A75" s="98" t="s">
        <v>16</v>
      </c>
      <c r="B75" s="98"/>
      <c r="C75" s="98"/>
      <c r="D75" s="17">
        <f>SUM(D72:D74)</f>
        <v>2588.8529833333332</v>
      </c>
    </row>
    <row r="76" spans="1:4" x14ac:dyDescent="0.2">
      <c r="A76" s="4"/>
    </row>
    <row r="78" spans="1:4" x14ac:dyDescent="0.2">
      <c r="A78" s="99" t="s">
        <v>44</v>
      </c>
      <c r="B78" s="99"/>
      <c r="C78" s="99"/>
      <c r="D78" s="99"/>
    </row>
    <row r="79" spans="1:4" ht="12.75" customHeight="1" x14ac:dyDescent="0.2"/>
    <row r="80" spans="1:4" x14ac:dyDescent="0.2">
      <c r="A80" s="6">
        <v>3</v>
      </c>
      <c r="B80" s="97" t="s">
        <v>45</v>
      </c>
      <c r="C80" s="97"/>
      <c r="D80" s="6" t="s">
        <v>3</v>
      </c>
    </row>
    <row r="81" spans="1:4" x14ac:dyDescent="0.2">
      <c r="A81" s="7" t="s">
        <v>4</v>
      </c>
      <c r="B81" s="10" t="s">
        <v>46</v>
      </c>
      <c r="C81" s="9">
        <f>TRUNC(((1/12)*5%),4)</f>
        <v>4.1000000000000003E-3</v>
      </c>
      <c r="D81" s="13">
        <f>TRUNC($D$26*C81,2)</f>
        <v>10.85</v>
      </c>
    </row>
    <row r="82" spans="1:4" x14ac:dyDescent="0.2">
      <c r="A82" s="7" t="s">
        <v>6</v>
      </c>
      <c r="B82" s="10" t="s">
        <v>47</v>
      </c>
      <c r="C82" s="9">
        <v>0.08</v>
      </c>
      <c r="D82" s="13">
        <f>TRUNC(D81*C82,2)</f>
        <v>0.86</v>
      </c>
    </row>
    <row r="83" spans="1:4" x14ac:dyDescent="0.2">
      <c r="A83" s="7" t="s">
        <v>8</v>
      </c>
      <c r="B83" s="10" t="s">
        <v>48</v>
      </c>
      <c r="C83" s="9">
        <f>TRUNC(8%*5%*40%,4)</f>
        <v>1.6000000000000001E-3</v>
      </c>
      <c r="D83" s="13">
        <f>TRUNC($D$26*C83,2)</f>
        <v>4.2300000000000004</v>
      </c>
    </row>
    <row r="84" spans="1:4" x14ac:dyDescent="0.2">
      <c r="A84" s="7" t="s">
        <v>10</v>
      </c>
      <c r="B84" s="10" t="s">
        <v>49</v>
      </c>
      <c r="C84" s="9">
        <f>TRUNC(((7/30)/12)*95%,4)</f>
        <v>1.84E-2</v>
      </c>
      <c r="D84" s="13">
        <f>TRUNC($D$26*C84,2)</f>
        <v>48.72</v>
      </c>
    </row>
    <row r="85" spans="1:4" ht="25.5" x14ac:dyDescent="0.2">
      <c r="A85" s="7" t="s">
        <v>12</v>
      </c>
      <c r="B85" s="10" t="s">
        <v>94</v>
      </c>
      <c r="C85" s="9">
        <f>C51</f>
        <v>0.36800000000000005</v>
      </c>
      <c r="D85" s="13">
        <f>TRUNC(D84*C85,2)</f>
        <v>17.920000000000002</v>
      </c>
    </row>
    <row r="86" spans="1:4" x14ac:dyDescent="0.2">
      <c r="A86" s="7" t="s">
        <v>31</v>
      </c>
      <c r="B86" s="10" t="s">
        <v>50</v>
      </c>
      <c r="C86" s="9">
        <f>TRUNC(8%*95%*40%,4)</f>
        <v>3.04E-2</v>
      </c>
      <c r="D86" s="13">
        <f t="shared" ref="D86" si="1">TRUNC($D$26*C86,2)</f>
        <v>80.5</v>
      </c>
    </row>
    <row r="87" spans="1:4" x14ac:dyDescent="0.2">
      <c r="A87" s="101" t="s">
        <v>16</v>
      </c>
      <c r="B87" s="110"/>
      <c r="C87" s="102"/>
      <c r="D87" s="17">
        <f>SUM(D81:D86)</f>
        <v>163.07999999999998</v>
      </c>
    </row>
    <row r="90" spans="1:4" x14ac:dyDescent="0.2">
      <c r="A90" s="99" t="s">
        <v>51</v>
      </c>
      <c r="B90" s="99"/>
      <c r="C90" s="99"/>
      <c r="D90" s="99"/>
    </row>
    <row r="93" spans="1:4" x14ac:dyDescent="0.2">
      <c r="A93" s="96" t="s">
        <v>78</v>
      </c>
      <c r="B93" s="96"/>
      <c r="C93" s="96"/>
      <c r="D93" s="96"/>
    </row>
    <row r="94" spans="1:4" x14ac:dyDescent="0.2">
      <c r="A94" s="3"/>
    </row>
    <row r="95" spans="1:4" x14ac:dyDescent="0.2">
      <c r="A95" s="6" t="s">
        <v>52</v>
      </c>
      <c r="B95" s="97" t="s">
        <v>79</v>
      </c>
      <c r="C95" s="97"/>
      <c r="D95" s="6" t="s">
        <v>3</v>
      </c>
    </row>
    <row r="96" spans="1:4" x14ac:dyDescent="0.2">
      <c r="A96" s="7" t="s">
        <v>4</v>
      </c>
      <c r="B96" s="8" t="s">
        <v>80</v>
      </c>
      <c r="C96" s="9">
        <f>TRUNC(((1+1/3)/12)/12,4)</f>
        <v>9.1999999999999998E-3</v>
      </c>
      <c r="D96" s="13">
        <f t="shared" ref="D96:D101" si="2">TRUNC(($D$26+$D$75+$D$87)*C96,2)</f>
        <v>49.68</v>
      </c>
    </row>
    <row r="97" spans="1:4" x14ac:dyDescent="0.2">
      <c r="A97" s="7" t="s">
        <v>6</v>
      </c>
      <c r="B97" s="8" t="s">
        <v>81</v>
      </c>
      <c r="C97" s="9">
        <f>TRUNC(((2/30)/12),4)</f>
        <v>5.4999999999999997E-3</v>
      </c>
      <c r="D97" s="13">
        <f t="shared" si="2"/>
        <v>29.7</v>
      </c>
    </row>
    <row r="98" spans="1:4" x14ac:dyDescent="0.2">
      <c r="A98" s="7" t="s">
        <v>8</v>
      </c>
      <c r="B98" s="8" t="s">
        <v>82</v>
      </c>
      <c r="C98" s="9">
        <f>TRUNC(((5/30)/12)*2%,4)</f>
        <v>2.0000000000000001E-4</v>
      </c>
      <c r="D98" s="13">
        <f t="shared" si="2"/>
        <v>1.08</v>
      </c>
    </row>
    <row r="99" spans="1:4" x14ac:dyDescent="0.2">
      <c r="A99" s="7" t="s">
        <v>10</v>
      </c>
      <c r="B99" s="8" t="s">
        <v>83</v>
      </c>
      <c r="C99" s="9">
        <f>TRUNC(((15/30)/12)*8%,4)</f>
        <v>3.3E-3</v>
      </c>
      <c r="D99" s="13">
        <f t="shared" si="2"/>
        <v>17.82</v>
      </c>
    </row>
    <row r="100" spans="1:4" x14ac:dyDescent="0.2">
      <c r="A100" s="7" t="s">
        <v>12</v>
      </c>
      <c r="B100" s="8" t="s">
        <v>84</v>
      </c>
      <c r="C100" s="9">
        <f>((1+1/3)/12)*3%*(4/12)</f>
        <v>1.1111111111111109E-3</v>
      </c>
      <c r="D100" s="13">
        <f t="shared" si="2"/>
        <v>6</v>
      </c>
    </row>
    <row r="101" spans="1:4" x14ac:dyDescent="0.2">
      <c r="A101" s="7" t="s">
        <v>31</v>
      </c>
      <c r="B101" s="8" t="s">
        <v>85</v>
      </c>
      <c r="C101" s="9"/>
      <c r="D101" s="13">
        <f t="shared" si="2"/>
        <v>0</v>
      </c>
    </row>
    <row r="102" spans="1:4" x14ac:dyDescent="0.2">
      <c r="A102" s="98" t="s">
        <v>36</v>
      </c>
      <c r="B102" s="98"/>
      <c r="C102" s="98"/>
      <c r="D102" s="17">
        <f>SUM(D96:D101)</f>
        <v>104.28</v>
      </c>
    </row>
    <row r="105" spans="1:4" x14ac:dyDescent="0.2">
      <c r="A105" s="96" t="s">
        <v>86</v>
      </c>
      <c r="B105" s="96"/>
      <c r="C105" s="96"/>
      <c r="D105" s="96"/>
    </row>
    <row r="106" spans="1:4" x14ac:dyDescent="0.2">
      <c r="A106" s="3"/>
    </row>
    <row r="107" spans="1:4" x14ac:dyDescent="0.2">
      <c r="A107" s="6" t="s">
        <v>53</v>
      </c>
      <c r="B107" s="97" t="s">
        <v>87</v>
      </c>
      <c r="C107" s="97"/>
      <c r="D107" s="6" t="s">
        <v>3</v>
      </c>
    </row>
    <row r="108" spans="1:4" x14ac:dyDescent="0.2">
      <c r="A108" s="7" t="s">
        <v>4</v>
      </c>
      <c r="B108" s="107" t="s">
        <v>88</v>
      </c>
      <c r="C108" s="108"/>
      <c r="D108" s="13">
        <f>((D26+D75+D87)/220)*22*0</f>
        <v>0</v>
      </c>
    </row>
    <row r="109" spans="1:4" x14ac:dyDescent="0.2">
      <c r="A109" s="98" t="s">
        <v>16</v>
      </c>
      <c r="B109" s="98"/>
      <c r="C109" s="98"/>
      <c r="D109" s="17">
        <f>SUM(D108)</f>
        <v>0</v>
      </c>
    </row>
    <row r="112" spans="1:4" x14ac:dyDescent="0.2">
      <c r="A112" s="96" t="s">
        <v>54</v>
      </c>
      <c r="B112" s="96"/>
      <c r="C112" s="96"/>
      <c r="D112" s="96"/>
    </row>
    <row r="113" spans="1:4" x14ac:dyDescent="0.2">
      <c r="A113" s="3"/>
    </row>
    <row r="114" spans="1:4" x14ac:dyDescent="0.2">
      <c r="A114" s="6">
        <v>4</v>
      </c>
      <c r="B114" s="98" t="s">
        <v>55</v>
      </c>
      <c r="C114" s="98"/>
      <c r="D114" s="6" t="s">
        <v>3</v>
      </c>
    </row>
    <row r="115" spans="1:4" x14ac:dyDescent="0.2">
      <c r="A115" s="7" t="s">
        <v>52</v>
      </c>
      <c r="B115" s="100" t="s">
        <v>79</v>
      </c>
      <c r="C115" s="100"/>
      <c r="D115" s="14">
        <f>D102</f>
        <v>104.28</v>
      </c>
    </row>
    <row r="116" spans="1:4" x14ac:dyDescent="0.2">
      <c r="A116" s="7" t="s">
        <v>53</v>
      </c>
      <c r="B116" s="100" t="s">
        <v>87</v>
      </c>
      <c r="C116" s="100"/>
      <c r="D116" s="14">
        <f>D109</f>
        <v>0</v>
      </c>
    </row>
    <row r="117" spans="1:4" x14ac:dyDescent="0.2">
      <c r="A117" s="98" t="s">
        <v>16</v>
      </c>
      <c r="B117" s="98"/>
      <c r="C117" s="98"/>
      <c r="D117" s="17">
        <f>SUM(D115:D116)</f>
        <v>104.28</v>
      </c>
    </row>
    <row r="120" spans="1:4" x14ac:dyDescent="0.2">
      <c r="A120" s="99" t="s">
        <v>56</v>
      </c>
      <c r="B120" s="99"/>
      <c r="C120" s="99"/>
      <c r="D120" s="99"/>
    </row>
    <row r="122" spans="1:4" x14ac:dyDescent="0.2">
      <c r="A122" s="6">
        <v>5</v>
      </c>
      <c r="B122" s="109" t="s">
        <v>57</v>
      </c>
      <c r="C122" s="109"/>
      <c r="D122" s="6" t="s">
        <v>3</v>
      </c>
    </row>
    <row r="123" spans="1:4" x14ac:dyDescent="0.2">
      <c r="A123" s="7" t="s">
        <v>4</v>
      </c>
      <c r="B123" s="100" t="s">
        <v>58</v>
      </c>
      <c r="C123" s="100"/>
      <c r="D123" s="13">
        <v>105.95</v>
      </c>
    </row>
    <row r="124" spans="1:4" x14ac:dyDescent="0.2">
      <c r="A124" s="7" t="s">
        <v>6</v>
      </c>
      <c r="B124" s="100" t="s">
        <v>59</v>
      </c>
      <c r="C124" s="100"/>
      <c r="D124" s="13">
        <v>2.2599999999999998</v>
      </c>
    </row>
    <row r="125" spans="1:4" x14ac:dyDescent="0.2">
      <c r="A125" s="7" t="s">
        <v>8</v>
      </c>
      <c r="B125" s="100" t="s">
        <v>60</v>
      </c>
      <c r="C125" s="100"/>
      <c r="D125" s="13">
        <v>21.12</v>
      </c>
    </row>
    <row r="126" spans="1:4" x14ac:dyDescent="0.2">
      <c r="A126" s="7" t="s">
        <v>10</v>
      </c>
      <c r="B126" s="100" t="s">
        <v>180</v>
      </c>
      <c r="C126" s="100"/>
      <c r="D126" s="13">
        <v>93.59</v>
      </c>
    </row>
    <row r="127" spans="1:4" x14ac:dyDescent="0.2">
      <c r="A127" s="93" t="s">
        <v>12</v>
      </c>
      <c r="B127" s="100" t="s">
        <v>208</v>
      </c>
      <c r="C127" s="100"/>
      <c r="D127" s="13">
        <v>84</v>
      </c>
    </row>
    <row r="128" spans="1:4" x14ac:dyDescent="0.2">
      <c r="A128" s="98" t="s">
        <v>36</v>
      </c>
      <c r="B128" s="98"/>
      <c r="C128" s="98"/>
      <c r="D128" s="18">
        <f>SUM(D123:D127)</f>
        <v>306.92</v>
      </c>
    </row>
    <row r="131" spans="1:4" x14ac:dyDescent="0.2">
      <c r="A131" s="99" t="s">
        <v>61</v>
      </c>
      <c r="B131" s="99"/>
      <c r="C131" s="99"/>
      <c r="D131" s="99"/>
    </row>
    <row r="133" spans="1:4" x14ac:dyDescent="0.2">
      <c r="A133" s="6">
        <v>6</v>
      </c>
      <c r="B133" s="11" t="s">
        <v>62</v>
      </c>
      <c r="C133" s="6" t="s">
        <v>25</v>
      </c>
      <c r="D133" s="6" t="s">
        <v>3</v>
      </c>
    </row>
    <row r="134" spans="1:4" x14ac:dyDescent="0.2">
      <c r="A134" s="7" t="s">
        <v>4</v>
      </c>
      <c r="B134" s="8" t="s">
        <v>63</v>
      </c>
      <c r="C134" s="9">
        <v>0.06</v>
      </c>
      <c r="D134" s="14">
        <f>D154*C134</f>
        <v>348.67973899999998</v>
      </c>
    </row>
    <row r="135" spans="1:4" x14ac:dyDescent="0.2">
      <c r="A135" s="7" t="s">
        <v>6</v>
      </c>
      <c r="B135" s="8" t="s">
        <v>64</v>
      </c>
      <c r="C135" s="9">
        <v>6.7900000000000002E-2</v>
      </c>
      <c r="D135" s="13">
        <f>(D154+D134)*C135</f>
        <v>418.26459224643332</v>
      </c>
    </row>
    <row r="136" spans="1:4" x14ac:dyDescent="0.2">
      <c r="A136" s="7" t="s">
        <v>8</v>
      </c>
      <c r="B136" s="8" t="s">
        <v>65</v>
      </c>
      <c r="C136" s="12">
        <f>SUM(C137:C142)</f>
        <v>8.6499999999999994E-2</v>
      </c>
      <c r="D136" s="13">
        <f>(D154+D134+D135)*C136/(1-C136)</f>
        <v>622.90163296239712</v>
      </c>
    </row>
    <row r="137" spans="1:4" x14ac:dyDescent="0.2">
      <c r="A137" s="7"/>
      <c r="B137" s="8" t="s">
        <v>66</v>
      </c>
      <c r="C137" s="9"/>
      <c r="D137" s="14">
        <f>$D$156*C137</f>
        <v>0</v>
      </c>
    </row>
    <row r="138" spans="1:4" x14ac:dyDescent="0.2">
      <c r="A138" s="7"/>
      <c r="B138" s="23" t="s">
        <v>96</v>
      </c>
      <c r="C138" s="9">
        <v>6.4999999999999997E-3</v>
      </c>
      <c r="D138" s="14">
        <f t="shared" ref="D138:D139" si="3">$D$156*C138</f>
        <v>46.807637159024061</v>
      </c>
    </row>
    <row r="139" spans="1:4" x14ac:dyDescent="0.2">
      <c r="A139" s="7"/>
      <c r="B139" s="23" t="s">
        <v>97</v>
      </c>
      <c r="C139" s="9">
        <v>0.03</v>
      </c>
      <c r="D139" s="14">
        <f t="shared" si="3"/>
        <v>216.0352484262649</v>
      </c>
    </row>
    <row r="140" spans="1:4" x14ac:dyDescent="0.2">
      <c r="A140" s="7"/>
      <c r="B140" s="8" t="s">
        <v>67</v>
      </c>
      <c r="C140" s="7"/>
      <c r="D140" s="14">
        <f t="shared" ref="D140:D141" si="4">$D$156*C140</f>
        <v>0</v>
      </c>
    </row>
    <row r="141" spans="1:4" x14ac:dyDescent="0.2">
      <c r="A141" s="7"/>
      <c r="B141" s="8" t="s">
        <v>68</v>
      </c>
      <c r="C141" s="9"/>
      <c r="D141" s="14">
        <f t="shared" si="4"/>
        <v>0</v>
      </c>
    </row>
    <row r="142" spans="1:4" x14ac:dyDescent="0.2">
      <c r="A142" s="7"/>
      <c r="B142" s="23" t="s">
        <v>98</v>
      </c>
      <c r="C142" s="9">
        <v>0.05</v>
      </c>
      <c r="D142" s="14">
        <f t="shared" ref="D142" si="5">$D$156*C142</f>
        <v>360.0587473771082</v>
      </c>
    </row>
    <row r="143" spans="1:4" ht="13.5" x14ac:dyDescent="0.2">
      <c r="A143" s="101" t="s">
        <v>36</v>
      </c>
      <c r="B143" s="110"/>
      <c r="C143" s="19">
        <f>(1+C135)*(1+C134)/(1-C136)-1</f>
        <v>0.2391614668856048</v>
      </c>
      <c r="D143" s="17">
        <f>SUM(D134:D136)</f>
        <v>1389.8459642088305</v>
      </c>
    </row>
    <row r="146" spans="1:4" x14ac:dyDescent="0.2">
      <c r="A146" s="99" t="s">
        <v>69</v>
      </c>
      <c r="B146" s="99"/>
      <c r="C146" s="99"/>
      <c r="D146" s="99"/>
    </row>
    <row r="148" spans="1:4" x14ac:dyDescent="0.2">
      <c r="A148" s="6"/>
      <c r="B148" s="98" t="s">
        <v>70</v>
      </c>
      <c r="C148" s="98"/>
      <c r="D148" s="6" t="s">
        <v>3</v>
      </c>
    </row>
    <row r="149" spans="1:4" x14ac:dyDescent="0.2">
      <c r="A149" s="6" t="s">
        <v>4</v>
      </c>
      <c r="B149" s="100" t="s">
        <v>1</v>
      </c>
      <c r="C149" s="100"/>
      <c r="D149" s="20">
        <f>D26</f>
        <v>2648.1959999999999</v>
      </c>
    </row>
    <row r="150" spans="1:4" x14ac:dyDescent="0.2">
      <c r="A150" s="6" t="s">
        <v>6</v>
      </c>
      <c r="B150" s="100" t="s">
        <v>17</v>
      </c>
      <c r="C150" s="100"/>
      <c r="D150" s="20">
        <f>D75</f>
        <v>2588.8529833333332</v>
      </c>
    </row>
    <row r="151" spans="1:4" x14ac:dyDescent="0.2">
      <c r="A151" s="6" t="s">
        <v>8</v>
      </c>
      <c r="B151" s="100" t="s">
        <v>44</v>
      </c>
      <c r="C151" s="100"/>
      <c r="D151" s="20">
        <f>D87</f>
        <v>163.07999999999998</v>
      </c>
    </row>
    <row r="152" spans="1:4" x14ac:dyDescent="0.2">
      <c r="A152" s="6" t="s">
        <v>10</v>
      </c>
      <c r="B152" s="100" t="s">
        <v>51</v>
      </c>
      <c r="C152" s="100"/>
      <c r="D152" s="20">
        <f>D117</f>
        <v>104.28</v>
      </c>
    </row>
    <row r="153" spans="1:4" x14ac:dyDescent="0.2">
      <c r="A153" s="6" t="s">
        <v>12</v>
      </c>
      <c r="B153" s="100" t="s">
        <v>56</v>
      </c>
      <c r="C153" s="100"/>
      <c r="D153" s="20">
        <f>D128</f>
        <v>306.92</v>
      </c>
    </row>
    <row r="154" spans="1:4" x14ac:dyDescent="0.2">
      <c r="A154" s="98" t="s">
        <v>95</v>
      </c>
      <c r="B154" s="98"/>
      <c r="C154" s="98"/>
      <c r="D154" s="21">
        <f>SUM(D149:D153)</f>
        <v>5811.3289833333329</v>
      </c>
    </row>
    <row r="155" spans="1:4" x14ac:dyDescent="0.2">
      <c r="A155" s="6" t="s">
        <v>31</v>
      </c>
      <c r="B155" s="100" t="s">
        <v>71</v>
      </c>
      <c r="C155" s="100"/>
      <c r="D155" s="22">
        <f>D143</f>
        <v>1389.8459642088305</v>
      </c>
    </row>
    <row r="156" spans="1:4" x14ac:dyDescent="0.2">
      <c r="A156" s="98" t="s">
        <v>72</v>
      </c>
      <c r="B156" s="98"/>
      <c r="C156" s="98"/>
      <c r="D156" s="21">
        <f>SUM(D154:D155)</f>
        <v>7201.1749475421639</v>
      </c>
    </row>
  </sheetData>
  <mergeCells count="80">
    <mergeCell ref="B153:C153"/>
    <mergeCell ref="A154:C154"/>
    <mergeCell ref="A54:D54"/>
    <mergeCell ref="B56:C56"/>
    <mergeCell ref="B57:C57"/>
    <mergeCell ref="B58:C58"/>
    <mergeCell ref="A69:D69"/>
    <mergeCell ref="B71:C71"/>
    <mergeCell ref="B72:C72"/>
    <mergeCell ref="B73:C73"/>
    <mergeCell ref="B74:C74"/>
    <mergeCell ref="A75:C75"/>
    <mergeCell ref="A78:D78"/>
    <mergeCell ref="B80:C80"/>
    <mergeCell ref="A1:D1"/>
    <mergeCell ref="A40:D40"/>
    <mergeCell ref="A51:B51"/>
    <mergeCell ref="A31:D31"/>
    <mergeCell ref="B33:C33"/>
    <mergeCell ref="B22:C22"/>
    <mergeCell ref="B23:C23"/>
    <mergeCell ref="B25:C25"/>
    <mergeCell ref="B24:C24"/>
    <mergeCell ref="A26:C26"/>
    <mergeCell ref="A8:D8"/>
    <mergeCell ref="B18:C18"/>
    <mergeCell ref="B19:C19"/>
    <mergeCell ref="B20:C20"/>
    <mergeCell ref="A5:B5"/>
    <mergeCell ref="A3:D3"/>
    <mergeCell ref="B60:C60"/>
    <mergeCell ref="B61:C61"/>
    <mergeCell ref="B59:C59"/>
    <mergeCell ref="B62:C62"/>
    <mergeCell ref="B63:C63"/>
    <mergeCell ref="B155:C155"/>
    <mergeCell ref="A156:C156"/>
    <mergeCell ref="A131:D131"/>
    <mergeCell ref="B108:C108"/>
    <mergeCell ref="B116:C116"/>
    <mergeCell ref="A117:C117"/>
    <mergeCell ref="A120:D120"/>
    <mergeCell ref="B122:C122"/>
    <mergeCell ref="A128:C128"/>
    <mergeCell ref="A143:B143"/>
    <mergeCell ref="A146:D146"/>
    <mergeCell ref="B148:C148"/>
    <mergeCell ref="B149:C149"/>
    <mergeCell ref="B150:C150"/>
    <mergeCell ref="B151:C151"/>
    <mergeCell ref="B152:C152"/>
    <mergeCell ref="A6:B6"/>
    <mergeCell ref="C11:D11"/>
    <mergeCell ref="A37:B37"/>
    <mergeCell ref="B21:C21"/>
    <mergeCell ref="C10:D10"/>
    <mergeCell ref="C12:D12"/>
    <mergeCell ref="C13:D13"/>
    <mergeCell ref="C14:D14"/>
    <mergeCell ref="A16:D16"/>
    <mergeCell ref="A29:D29"/>
    <mergeCell ref="B125:C125"/>
    <mergeCell ref="B126:C126"/>
    <mergeCell ref="B127:C127"/>
    <mergeCell ref="B64:C64"/>
    <mergeCell ref="B65:C65"/>
    <mergeCell ref="B124:C124"/>
    <mergeCell ref="B107:C107"/>
    <mergeCell ref="A109:C109"/>
    <mergeCell ref="A112:D112"/>
    <mergeCell ref="B114:C114"/>
    <mergeCell ref="B115:C115"/>
    <mergeCell ref="A93:D93"/>
    <mergeCell ref="B95:C95"/>
    <mergeCell ref="A66:C66"/>
    <mergeCell ref="A90:D90"/>
    <mergeCell ref="B123:C123"/>
    <mergeCell ref="A102:C102"/>
    <mergeCell ref="A87:C87"/>
    <mergeCell ref="A105:D105"/>
  </mergeCells>
  <pageMargins left="0.511811024" right="0.511811024" top="0.78740157499999996" bottom="0.78740157499999996" header="0.31496062000000002" footer="0.31496062000000002"/>
  <pageSetup paperSize="9" scale="84"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56"/>
  <sheetViews>
    <sheetView zoomScale="115" zoomScaleNormal="115" workbookViewId="0">
      <selection activeCell="F15" sqref="F15:G15"/>
    </sheetView>
  </sheetViews>
  <sheetFormatPr defaultRowHeight="12.75" x14ac:dyDescent="0.2"/>
  <cols>
    <col min="1" max="1" width="9.140625" style="1"/>
    <col min="2" max="2" width="60.28515625" style="1" customWidth="1"/>
    <col min="3" max="3" width="18" style="1" customWidth="1"/>
    <col min="4" max="4" width="21.42578125" style="1" customWidth="1"/>
    <col min="5" max="5" width="15.140625" style="1" customWidth="1"/>
    <col min="6" max="16384" width="9.140625" style="1"/>
  </cols>
  <sheetData>
    <row r="1" spans="1:4" ht="15.75" x14ac:dyDescent="0.25">
      <c r="A1" s="111" t="s">
        <v>0</v>
      </c>
      <c r="B1" s="111"/>
      <c r="C1" s="111"/>
      <c r="D1" s="111"/>
    </row>
    <row r="2" spans="1:4" ht="15.75" x14ac:dyDescent="0.25">
      <c r="A2" s="24"/>
      <c r="B2" s="24"/>
      <c r="C2" s="24"/>
      <c r="D2" s="24"/>
    </row>
    <row r="3" spans="1:4" x14ac:dyDescent="0.2">
      <c r="A3" s="106" t="s">
        <v>89</v>
      </c>
      <c r="B3" s="106"/>
      <c r="C3" s="106"/>
      <c r="D3" s="106"/>
    </row>
    <row r="4" spans="1:4" x14ac:dyDescent="0.2">
      <c r="A4" s="2"/>
      <c r="B4" s="2"/>
      <c r="C4" s="2"/>
      <c r="D4" s="2"/>
    </row>
    <row r="5" spans="1:4" ht="38.25" x14ac:dyDescent="0.2">
      <c r="A5" s="113" t="s">
        <v>90</v>
      </c>
      <c r="B5" s="113"/>
      <c r="C5" s="34" t="s">
        <v>91</v>
      </c>
      <c r="D5" s="25" t="s">
        <v>92</v>
      </c>
    </row>
    <row r="6" spans="1:4" ht="25.5" customHeight="1" x14ac:dyDescent="0.2">
      <c r="A6" s="101" t="s">
        <v>121</v>
      </c>
      <c r="B6" s="102"/>
      <c r="C6" s="35" t="s">
        <v>100</v>
      </c>
      <c r="D6" s="32" t="s">
        <v>120</v>
      </c>
    </row>
    <row r="8" spans="1:4" x14ac:dyDescent="0.2">
      <c r="A8" s="106" t="s">
        <v>73</v>
      </c>
      <c r="B8" s="106"/>
      <c r="C8" s="106"/>
      <c r="D8" s="106"/>
    </row>
    <row r="9" spans="1:4" x14ac:dyDescent="0.2">
      <c r="A9" s="2"/>
      <c r="B9" s="2"/>
      <c r="C9" s="2"/>
      <c r="D9" s="2"/>
    </row>
    <row r="10" spans="1:4" x14ac:dyDescent="0.2">
      <c r="A10" s="5">
        <v>1</v>
      </c>
      <c r="B10" s="5" t="s">
        <v>74</v>
      </c>
      <c r="C10" s="103" t="s">
        <v>113</v>
      </c>
      <c r="D10" s="104"/>
    </row>
    <row r="11" spans="1:4" x14ac:dyDescent="0.2">
      <c r="A11" s="5">
        <v>2</v>
      </c>
      <c r="B11" s="5" t="s">
        <v>93</v>
      </c>
      <c r="C11" s="103">
        <v>517330</v>
      </c>
      <c r="D11" s="104"/>
    </row>
    <row r="12" spans="1:4" x14ac:dyDescent="0.2">
      <c r="A12" s="5">
        <v>3</v>
      </c>
      <c r="B12" s="5" t="s">
        <v>75</v>
      </c>
      <c r="C12" s="103">
        <v>1471.22</v>
      </c>
      <c r="D12" s="104"/>
    </row>
    <row r="13" spans="1:4" x14ac:dyDescent="0.2">
      <c r="A13" s="5">
        <v>4</v>
      </c>
      <c r="B13" s="5" t="s">
        <v>76</v>
      </c>
      <c r="C13" s="103" t="s">
        <v>102</v>
      </c>
      <c r="D13" s="104"/>
    </row>
    <row r="14" spans="1:4" x14ac:dyDescent="0.2">
      <c r="A14" s="5">
        <v>5</v>
      </c>
      <c r="B14" s="5" t="s">
        <v>77</v>
      </c>
      <c r="C14" s="105">
        <v>45292</v>
      </c>
      <c r="D14" s="104"/>
    </row>
    <row r="16" spans="1:4" x14ac:dyDescent="0.2">
      <c r="A16" s="106" t="s">
        <v>1</v>
      </c>
      <c r="B16" s="106"/>
      <c r="C16" s="106"/>
      <c r="D16" s="106"/>
    </row>
    <row r="18" spans="1:4" x14ac:dyDescent="0.2">
      <c r="A18" s="32">
        <v>1</v>
      </c>
      <c r="B18" s="98" t="s">
        <v>2</v>
      </c>
      <c r="C18" s="98"/>
      <c r="D18" s="32" t="s">
        <v>3</v>
      </c>
    </row>
    <row r="19" spans="1:4" x14ac:dyDescent="0.2">
      <c r="A19" s="34" t="s">
        <v>4</v>
      </c>
      <c r="B19" s="100" t="s">
        <v>5</v>
      </c>
      <c r="C19" s="100"/>
      <c r="D19" s="13">
        <v>1471.22</v>
      </c>
    </row>
    <row r="20" spans="1:4" x14ac:dyDescent="0.2">
      <c r="A20" s="34" t="s">
        <v>6</v>
      </c>
      <c r="B20" s="100" t="s">
        <v>7</v>
      </c>
      <c r="C20" s="100"/>
      <c r="D20" s="13">
        <f>D19*0.3</f>
        <v>441.36599999999999</v>
      </c>
    </row>
    <row r="21" spans="1:4" x14ac:dyDescent="0.2">
      <c r="A21" s="34" t="s">
        <v>8</v>
      </c>
      <c r="B21" s="100" t="s">
        <v>9</v>
      </c>
      <c r="C21" s="100"/>
      <c r="D21" s="13"/>
    </row>
    <row r="22" spans="1:4" x14ac:dyDescent="0.2">
      <c r="A22" s="34" t="s">
        <v>10</v>
      </c>
      <c r="B22" s="100" t="s">
        <v>11</v>
      </c>
      <c r="C22" s="100"/>
      <c r="D22" s="13"/>
    </row>
    <row r="23" spans="1:4" x14ac:dyDescent="0.2">
      <c r="A23" s="34" t="s">
        <v>12</v>
      </c>
      <c r="B23" s="100" t="s">
        <v>13</v>
      </c>
      <c r="C23" s="100"/>
      <c r="D23" s="13"/>
    </row>
    <row r="24" spans="1:4" x14ac:dyDescent="0.2">
      <c r="A24" s="34" t="s">
        <v>31</v>
      </c>
      <c r="B24" s="100" t="s">
        <v>114</v>
      </c>
      <c r="C24" s="100"/>
      <c r="D24" s="13">
        <v>0</v>
      </c>
    </row>
    <row r="25" spans="1:4" x14ac:dyDescent="0.2">
      <c r="A25" s="34" t="s">
        <v>14</v>
      </c>
      <c r="B25" s="100" t="s">
        <v>15</v>
      </c>
      <c r="C25" s="100"/>
      <c r="D25" s="13"/>
    </row>
    <row r="26" spans="1:4" x14ac:dyDescent="0.2">
      <c r="A26" s="98" t="s">
        <v>16</v>
      </c>
      <c r="B26" s="98"/>
      <c r="C26" s="98"/>
      <c r="D26" s="18">
        <f>SUM(D19:D25)</f>
        <v>1912.586</v>
      </c>
    </row>
    <row r="29" spans="1:4" x14ac:dyDescent="0.2">
      <c r="A29" s="99" t="s">
        <v>17</v>
      </c>
      <c r="B29" s="99"/>
      <c r="C29" s="99"/>
      <c r="D29" s="99"/>
    </row>
    <row r="30" spans="1:4" x14ac:dyDescent="0.2">
      <c r="A30" s="3"/>
    </row>
    <row r="31" spans="1:4" x14ac:dyDescent="0.2">
      <c r="A31" s="96" t="s">
        <v>18</v>
      </c>
      <c r="B31" s="96"/>
      <c r="C31" s="96"/>
      <c r="D31" s="96"/>
    </row>
    <row r="33" spans="1:4" x14ac:dyDescent="0.2">
      <c r="A33" s="32" t="s">
        <v>19</v>
      </c>
      <c r="B33" s="98" t="s">
        <v>20</v>
      </c>
      <c r="C33" s="98"/>
      <c r="D33" s="32" t="s">
        <v>3</v>
      </c>
    </row>
    <row r="34" spans="1:4" x14ac:dyDescent="0.2">
      <c r="A34" s="34" t="s">
        <v>4</v>
      </c>
      <c r="B34" s="31" t="s">
        <v>21</v>
      </c>
      <c r="C34" s="12">
        <f>TRUNC(1/12,4)</f>
        <v>8.3299999999999999E-2</v>
      </c>
      <c r="D34" s="13">
        <f>TRUNC($D$26*C34,2)</f>
        <v>159.31</v>
      </c>
    </row>
    <row r="35" spans="1:4" x14ac:dyDescent="0.2">
      <c r="A35" s="34" t="s">
        <v>6</v>
      </c>
      <c r="B35" s="31" t="s">
        <v>117</v>
      </c>
      <c r="C35" s="12">
        <f>TRUNC(((1)/12),4)</f>
        <v>8.3299999999999999E-2</v>
      </c>
      <c r="D35" s="13">
        <f>TRUNC($D$26*C35,2)</f>
        <v>159.31</v>
      </c>
    </row>
    <row r="36" spans="1:4" x14ac:dyDescent="0.2">
      <c r="A36" s="34" t="s">
        <v>8</v>
      </c>
      <c r="B36" s="31" t="s">
        <v>118</v>
      </c>
      <c r="C36" s="36">
        <f>TRUNC(((51%)/12),4)</f>
        <v>4.2500000000000003E-2</v>
      </c>
      <c r="D36" s="13">
        <f>TRUNC($D$19*C36,2)</f>
        <v>62.52</v>
      </c>
    </row>
    <row r="37" spans="1:4" x14ac:dyDescent="0.2">
      <c r="A37" s="98" t="s">
        <v>16</v>
      </c>
      <c r="B37" s="98"/>
      <c r="C37" s="26">
        <f>SUM(C34:C36)</f>
        <v>0.20910000000000001</v>
      </c>
      <c r="D37" s="17">
        <f>SUM(D34:D36)</f>
        <v>381.14</v>
      </c>
    </row>
    <row r="40" spans="1:4" x14ac:dyDescent="0.2">
      <c r="A40" s="112" t="s">
        <v>22</v>
      </c>
      <c r="B40" s="112"/>
      <c r="C40" s="112"/>
      <c r="D40" s="112"/>
    </row>
    <row r="42" spans="1:4" x14ac:dyDescent="0.2">
      <c r="A42" s="32" t="s">
        <v>23</v>
      </c>
      <c r="B42" s="32" t="s">
        <v>24</v>
      </c>
      <c r="C42" s="32" t="s">
        <v>25</v>
      </c>
      <c r="D42" s="32" t="s">
        <v>3</v>
      </c>
    </row>
    <row r="43" spans="1:4" x14ac:dyDescent="0.2">
      <c r="A43" s="34" t="s">
        <v>4</v>
      </c>
      <c r="B43" s="31" t="s">
        <v>26</v>
      </c>
      <c r="C43" s="9">
        <v>0.2</v>
      </c>
      <c r="D43" s="13">
        <f>TRUNC(($D$26+$D$37)*C43,2)</f>
        <v>458.74</v>
      </c>
    </row>
    <row r="44" spans="1:4" x14ac:dyDescent="0.2">
      <c r="A44" s="34" t="s">
        <v>6</v>
      </c>
      <c r="B44" s="31" t="s">
        <v>27</v>
      </c>
      <c r="C44" s="9">
        <v>2.5000000000000001E-2</v>
      </c>
      <c r="D44" s="13">
        <f t="shared" ref="D44:D50" si="0">TRUNC(($D$26+$D$37)*C44,2)</f>
        <v>57.34</v>
      </c>
    </row>
    <row r="45" spans="1:4" x14ac:dyDescent="0.2">
      <c r="A45" s="34" t="s">
        <v>8</v>
      </c>
      <c r="B45" s="31" t="s">
        <v>28</v>
      </c>
      <c r="C45" s="16">
        <v>0.03</v>
      </c>
      <c r="D45" s="13">
        <f t="shared" si="0"/>
        <v>68.81</v>
      </c>
    </row>
    <row r="46" spans="1:4" x14ac:dyDescent="0.2">
      <c r="A46" s="34" t="s">
        <v>10</v>
      </c>
      <c r="B46" s="31" t="s">
        <v>29</v>
      </c>
      <c r="C46" s="9">
        <v>1.4999999999999999E-2</v>
      </c>
      <c r="D46" s="13">
        <f t="shared" si="0"/>
        <v>34.4</v>
      </c>
    </row>
    <row r="47" spans="1:4" x14ac:dyDescent="0.2">
      <c r="A47" s="34" t="s">
        <v>12</v>
      </c>
      <c r="B47" s="31" t="s">
        <v>30</v>
      </c>
      <c r="C47" s="9">
        <v>0.01</v>
      </c>
      <c r="D47" s="13">
        <f t="shared" si="0"/>
        <v>22.93</v>
      </c>
    </row>
    <row r="48" spans="1:4" x14ac:dyDescent="0.2">
      <c r="A48" s="34" t="s">
        <v>31</v>
      </c>
      <c r="B48" s="31" t="s">
        <v>32</v>
      </c>
      <c r="C48" s="9">
        <v>6.0000000000000001E-3</v>
      </c>
      <c r="D48" s="13">
        <f t="shared" si="0"/>
        <v>13.76</v>
      </c>
    </row>
    <row r="49" spans="1:4" x14ac:dyDescent="0.2">
      <c r="A49" s="34" t="s">
        <v>14</v>
      </c>
      <c r="B49" s="31" t="s">
        <v>33</v>
      </c>
      <c r="C49" s="9">
        <v>2E-3</v>
      </c>
      <c r="D49" s="13">
        <f t="shared" si="0"/>
        <v>4.58</v>
      </c>
    </row>
    <row r="50" spans="1:4" x14ac:dyDescent="0.2">
      <c r="A50" s="34" t="s">
        <v>34</v>
      </c>
      <c r="B50" s="31" t="s">
        <v>35</v>
      </c>
      <c r="C50" s="9">
        <v>0.08</v>
      </c>
      <c r="D50" s="13">
        <f t="shared" si="0"/>
        <v>183.49</v>
      </c>
    </row>
    <row r="51" spans="1:4" x14ac:dyDescent="0.2">
      <c r="A51" s="98" t="s">
        <v>36</v>
      </c>
      <c r="B51" s="98"/>
      <c r="C51" s="15">
        <f>SUM(C43:C50)</f>
        <v>0.36800000000000005</v>
      </c>
      <c r="D51" s="17">
        <f>SUM(D43:D50)</f>
        <v>844.05000000000007</v>
      </c>
    </row>
    <row r="54" spans="1:4" x14ac:dyDescent="0.2">
      <c r="A54" s="96" t="s">
        <v>37</v>
      </c>
      <c r="B54" s="96"/>
      <c r="C54" s="96"/>
      <c r="D54" s="96"/>
    </row>
    <row r="56" spans="1:4" x14ac:dyDescent="0.2">
      <c r="A56" s="32" t="s">
        <v>38</v>
      </c>
      <c r="B56" s="97" t="s">
        <v>39</v>
      </c>
      <c r="C56" s="97"/>
      <c r="D56" s="32" t="s">
        <v>3</v>
      </c>
    </row>
    <row r="57" spans="1:4" x14ac:dyDescent="0.2">
      <c r="A57" s="34" t="s">
        <v>4</v>
      </c>
      <c r="B57" s="100" t="s">
        <v>40</v>
      </c>
      <c r="C57" s="100"/>
      <c r="D57" s="13">
        <f>(22*2*5.2)-(D19*0.06)</f>
        <v>140.52680000000001</v>
      </c>
    </row>
    <row r="58" spans="1:4" x14ac:dyDescent="0.2">
      <c r="A58" s="34" t="s">
        <v>6</v>
      </c>
      <c r="B58" s="100" t="s">
        <v>41</v>
      </c>
      <c r="C58" s="100"/>
      <c r="D58" s="13">
        <f>16.59*22*0.85</f>
        <v>310.233</v>
      </c>
    </row>
    <row r="59" spans="1:4" x14ac:dyDescent="0.2">
      <c r="A59" s="34" t="s">
        <v>8</v>
      </c>
      <c r="B59" s="100" t="s">
        <v>110</v>
      </c>
      <c r="C59" s="100"/>
      <c r="D59" s="13"/>
    </row>
    <row r="60" spans="1:4" x14ac:dyDescent="0.2">
      <c r="A60" s="34" t="s">
        <v>10</v>
      </c>
      <c r="B60" s="100" t="s">
        <v>104</v>
      </c>
      <c r="C60" s="100"/>
      <c r="D60" s="13">
        <v>8.5</v>
      </c>
    </row>
    <row r="61" spans="1:4" x14ac:dyDescent="0.2">
      <c r="A61" s="34" t="s">
        <v>12</v>
      </c>
      <c r="B61" s="100" t="s">
        <v>105</v>
      </c>
      <c r="C61" s="100"/>
      <c r="D61" s="13">
        <v>3.5</v>
      </c>
    </row>
    <row r="62" spans="1:4" x14ac:dyDescent="0.2">
      <c r="A62" s="34" t="s">
        <v>31</v>
      </c>
      <c r="B62" s="100" t="s">
        <v>111</v>
      </c>
      <c r="C62" s="100"/>
      <c r="D62" s="13"/>
    </row>
    <row r="63" spans="1:4" x14ac:dyDescent="0.2">
      <c r="A63" s="41" t="s">
        <v>14</v>
      </c>
      <c r="B63" s="100" t="s">
        <v>179</v>
      </c>
      <c r="C63" s="100"/>
      <c r="D63" s="13"/>
    </row>
    <row r="64" spans="1:4" x14ac:dyDescent="0.2">
      <c r="A64" s="93" t="s">
        <v>34</v>
      </c>
      <c r="B64" s="100" t="s">
        <v>207</v>
      </c>
      <c r="C64" s="100"/>
      <c r="D64" s="13">
        <f>D19*0.22*(21/24)</f>
        <v>283.20985000000002</v>
      </c>
    </row>
    <row r="65" spans="1:4" x14ac:dyDescent="0.2">
      <c r="A65" s="93" t="s">
        <v>206</v>
      </c>
      <c r="B65" s="100" t="s">
        <v>209</v>
      </c>
      <c r="C65" s="100"/>
      <c r="D65" s="13">
        <f>233.73*(2/3)</f>
        <v>155.82</v>
      </c>
    </row>
    <row r="66" spans="1:4" x14ac:dyDescent="0.2">
      <c r="A66" s="98" t="s">
        <v>16</v>
      </c>
      <c r="B66" s="98"/>
      <c r="C66" s="98"/>
      <c r="D66" s="17">
        <f>SUM(D57:D65)</f>
        <v>901.78964999999994</v>
      </c>
    </row>
    <row r="69" spans="1:4" x14ac:dyDescent="0.2">
      <c r="A69" s="96" t="s">
        <v>42</v>
      </c>
      <c r="B69" s="96"/>
      <c r="C69" s="96"/>
      <c r="D69" s="96"/>
    </row>
    <row r="71" spans="1:4" x14ac:dyDescent="0.2">
      <c r="A71" s="32">
        <v>2</v>
      </c>
      <c r="B71" s="97" t="s">
        <v>43</v>
      </c>
      <c r="C71" s="97"/>
      <c r="D71" s="32" t="s">
        <v>3</v>
      </c>
    </row>
    <row r="72" spans="1:4" x14ac:dyDescent="0.2">
      <c r="A72" s="34" t="s">
        <v>19</v>
      </c>
      <c r="B72" s="100" t="s">
        <v>20</v>
      </c>
      <c r="C72" s="100"/>
      <c r="D72" s="14">
        <f>D37</f>
        <v>381.14</v>
      </c>
    </row>
    <row r="73" spans="1:4" x14ac:dyDescent="0.2">
      <c r="A73" s="34" t="s">
        <v>23</v>
      </c>
      <c r="B73" s="100" t="s">
        <v>24</v>
      </c>
      <c r="C73" s="100"/>
      <c r="D73" s="14">
        <f>D51</f>
        <v>844.05000000000007</v>
      </c>
    </row>
    <row r="74" spans="1:4" x14ac:dyDescent="0.2">
      <c r="A74" s="34" t="s">
        <v>38</v>
      </c>
      <c r="B74" s="100" t="s">
        <v>39</v>
      </c>
      <c r="C74" s="100"/>
      <c r="D74" s="14">
        <f>D66</f>
        <v>901.78964999999994</v>
      </c>
    </row>
    <row r="75" spans="1:4" x14ac:dyDescent="0.2">
      <c r="A75" s="98" t="s">
        <v>16</v>
      </c>
      <c r="B75" s="98"/>
      <c r="C75" s="98"/>
      <c r="D75" s="17">
        <f>SUM(D72:D74)</f>
        <v>2126.9796500000002</v>
      </c>
    </row>
    <row r="76" spans="1:4" x14ac:dyDescent="0.2">
      <c r="A76" s="4"/>
    </row>
    <row r="78" spans="1:4" x14ac:dyDescent="0.2">
      <c r="A78" s="99" t="s">
        <v>44</v>
      </c>
      <c r="B78" s="99"/>
      <c r="C78" s="99"/>
      <c r="D78" s="99"/>
    </row>
    <row r="79" spans="1:4" ht="12.75" customHeight="1" x14ac:dyDescent="0.2"/>
    <row r="80" spans="1:4" x14ac:dyDescent="0.2">
      <c r="A80" s="32">
        <v>3</v>
      </c>
      <c r="B80" s="97" t="s">
        <v>45</v>
      </c>
      <c r="C80" s="97"/>
      <c r="D80" s="32" t="s">
        <v>3</v>
      </c>
    </row>
    <row r="81" spans="1:4" x14ac:dyDescent="0.2">
      <c r="A81" s="34" t="s">
        <v>4</v>
      </c>
      <c r="B81" s="10" t="s">
        <v>46</v>
      </c>
      <c r="C81" s="9">
        <f>TRUNC(((1/12)*5%),4)</f>
        <v>4.1000000000000003E-3</v>
      </c>
      <c r="D81" s="13">
        <f>TRUNC($D$26*C81,2)</f>
        <v>7.84</v>
      </c>
    </row>
    <row r="82" spans="1:4" x14ac:dyDescent="0.2">
      <c r="A82" s="34" t="s">
        <v>6</v>
      </c>
      <c r="B82" s="10" t="s">
        <v>47</v>
      </c>
      <c r="C82" s="9">
        <v>0.08</v>
      </c>
      <c r="D82" s="13">
        <f>TRUNC(D81*C82,2)</f>
        <v>0.62</v>
      </c>
    </row>
    <row r="83" spans="1:4" x14ac:dyDescent="0.2">
      <c r="A83" s="34" t="s">
        <v>8</v>
      </c>
      <c r="B83" s="10" t="s">
        <v>48</v>
      </c>
      <c r="C83" s="9">
        <f>TRUNC(8%*5%*40%,4)</f>
        <v>1.6000000000000001E-3</v>
      </c>
      <c r="D83" s="13">
        <f>TRUNC($D$26*C83,2)</f>
        <v>3.06</v>
      </c>
    </row>
    <row r="84" spans="1:4" x14ac:dyDescent="0.2">
      <c r="A84" s="34" t="s">
        <v>10</v>
      </c>
      <c r="B84" s="10" t="s">
        <v>49</v>
      </c>
      <c r="C84" s="9">
        <f>TRUNC(((7/30)/12)*95%,4)</f>
        <v>1.84E-2</v>
      </c>
      <c r="D84" s="13">
        <f>TRUNC($D$26*C84,2)</f>
        <v>35.19</v>
      </c>
    </row>
    <row r="85" spans="1:4" ht="25.5" x14ac:dyDescent="0.2">
      <c r="A85" s="34" t="s">
        <v>12</v>
      </c>
      <c r="B85" s="10" t="s">
        <v>94</v>
      </c>
      <c r="C85" s="9">
        <f>C51</f>
        <v>0.36800000000000005</v>
      </c>
      <c r="D85" s="13">
        <f>TRUNC(D84*C85,2)</f>
        <v>12.94</v>
      </c>
    </row>
    <row r="86" spans="1:4" x14ac:dyDescent="0.2">
      <c r="A86" s="34" t="s">
        <v>31</v>
      </c>
      <c r="B86" s="10" t="s">
        <v>50</v>
      </c>
      <c r="C86" s="9">
        <f>TRUNC(8%*95%*40%,4)</f>
        <v>3.04E-2</v>
      </c>
      <c r="D86" s="13">
        <f t="shared" ref="D86" si="1">TRUNC($D$26*C86,2)</f>
        <v>58.14</v>
      </c>
    </row>
    <row r="87" spans="1:4" x14ac:dyDescent="0.2">
      <c r="A87" s="101" t="s">
        <v>16</v>
      </c>
      <c r="B87" s="110"/>
      <c r="C87" s="102"/>
      <c r="D87" s="17">
        <f>SUM(D81:D86)</f>
        <v>117.78999999999999</v>
      </c>
    </row>
    <row r="90" spans="1:4" x14ac:dyDescent="0.2">
      <c r="A90" s="99" t="s">
        <v>51</v>
      </c>
      <c r="B90" s="99"/>
      <c r="C90" s="99"/>
      <c r="D90" s="99"/>
    </row>
    <row r="93" spans="1:4" x14ac:dyDescent="0.2">
      <c r="A93" s="96" t="s">
        <v>78</v>
      </c>
      <c r="B93" s="96"/>
      <c r="C93" s="96"/>
      <c r="D93" s="96"/>
    </row>
    <row r="94" spans="1:4" x14ac:dyDescent="0.2">
      <c r="A94" s="3"/>
    </row>
    <row r="95" spans="1:4" x14ac:dyDescent="0.2">
      <c r="A95" s="32" t="s">
        <v>52</v>
      </c>
      <c r="B95" s="97" t="s">
        <v>79</v>
      </c>
      <c r="C95" s="97"/>
      <c r="D95" s="32" t="s">
        <v>3</v>
      </c>
    </row>
    <row r="96" spans="1:4" x14ac:dyDescent="0.2">
      <c r="A96" s="34" t="s">
        <v>4</v>
      </c>
      <c r="B96" s="31" t="s">
        <v>80</v>
      </c>
      <c r="C96" s="9">
        <f>TRUNC(((1+1/3)/12)/12,4)*0</f>
        <v>0</v>
      </c>
      <c r="D96" s="13">
        <f t="shared" ref="D96:D101" si="2">TRUNC(($D$26+$D$75+$D$87)*C96,2)</f>
        <v>0</v>
      </c>
    </row>
    <row r="97" spans="1:4" x14ac:dyDescent="0.2">
      <c r="A97" s="34" t="s">
        <v>6</v>
      </c>
      <c r="B97" s="31" t="s">
        <v>81</v>
      </c>
      <c r="C97" s="9">
        <f>TRUNC(((2/30)/12),4)</f>
        <v>5.4999999999999997E-3</v>
      </c>
      <c r="D97" s="13">
        <f t="shared" si="2"/>
        <v>22.86</v>
      </c>
    </row>
    <row r="98" spans="1:4" x14ac:dyDescent="0.2">
      <c r="A98" s="34" t="s">
        <v>8</v>
      </c>
      <c r="B98" s="31" t="s">
        <v>82</v>
      </c>
      <c r="C98" s="9">
        <f>TRUNC(((5/30)/12)*2%,4)*0</f>
        <v>0</v>
      </c>
      <c r="D98" s="13">
        <f t="shared" si="2"/>
        <v>0</v>
      </c>
    </row>
    <row r="99" spans="1:4" x14ac:dyDescent="0.2">
      <c r="A99" s="34" t="s">
        <v>10</v>
      </c>
      <c r="B99" s="31" t="s">
        <v>83</v>
      </c>
      <c r="C99" s="9">
        <f>TRUNC(((15/30)/12)*8%,4)*0</f>
        <v>0</v>
      </c>
      <c r="D99" s="13">
        <f t="shared" si="2"/>
        <v>0</v>
      </c>
    </row>
    <row r="100" spans="1:4" x14ac:dyDescent="0.2">
      <c r="A100" s="34" t="s">
        <v>12</v>
      </c>
      <c r="B100" s="31" t="s">
        <v>84</v>
      </c>
      <c r="C100" s="9">
        <f>((1+1/3)/12)*3%*(4/12)*0</f>
        <v>0</v>
      </c>
      <c r="D100" s="13">
        <f t="shared" si="2"/>
        <v>0</v>
      </c>
    </row>
    <row r="101" spans="1:4" x14ac:dyDescent="0.2">
      <c r="A101" s="34" t="s">
        <v>31</v>
      </c>
      <c r="B101" s="31" t="s">
        <v>85</v>
      </c>
      <c r="C101" s="9"/>
      <c r="D101" s="13">
        <f t="shared" si="2"/>
        <v>0</v>
      </c>
    </row>
    <row r="102" spans="1:4" x14ac:dyDescent="0.2">
      <c r="A102" s="98" t="s">
        <v>36</v>
      </c>
      <c r="B102" s="98"/>
      <c r="C102" s="98"/>
      <c r="D102" s="17">
        <f>SUM(D96:D101)</f>
        <v>22.86</v>
      </c>
    </row>
    <row r="105" spans="1:4" x14ac:dyDescent="0.2">
      <c r="A105" s="96" t="s">
        <v>86</v>
      </c>
      <c r="B105" s="96"/>
      <c r="C105" s="96"/>
      <c r="D105" s="96"/>
    </row>
    <row r="106" spans="1:4" x14ac:dyDescent="0.2">
      <c r="A106" s="3"/>
    </row>
    <row r="107" spans="1:4" x14ac:dyDescent="0.2">
      <c r="A107" s="32" t="s">
        <v>53</v>
      </c>
      <c r="B107" s="97" t="s">
        <v>87</v>
      </c>
      <c r="C107" s="97"/>
      <c r="D107" s="32" t="s">
        <v>3</v>
      </c>
    </row>
    <row r="108" spans="1:4" x14ac:dyDescent="0.2">
      <c r="A108" s="34" t="s">
        <v>4</v>
      </c>
      <c r="B108" s="107" t="s">
        <v>88</v>
      </c>
      <c r="C108" s="108"/>
      <c r="D108" s="13">
        <f>((D26+D75+D87)/220)*22*0</f>
        <v>0</v>
      </c>
    </row>
    <row r="109" spans="1:4" x14ac:dyDescent="0.2">
      <c r="A109" s="98" t="s">
        <v>16</v>
      </c>
      <c r="B109" s="98"/>
      <c r="C109" s="98"/>
      <c r="D109" s="17">
        <f>SUM(D108)</f>
        <v>0</v>
      </c>
    </row>
    <row r="112" spans="1:4" x14ac:dyDescent="0.2">
      <c r="A112" s="96" t="s">
        <v>54</v>
      </c>
      <c r="B112" s="96"/>
      <c r="C112" s="96"/>
      <c r="D112" s="96"/>
    </row>
    <row r="113" spans="1:4" x14ac:dyDescent="0.2">
      <c r="A113" s="3"/>
    </row>
    <row r="114" spans="1:4" x14ac:dyDescent="0.2">
      <c r="A114" s="32">
        <v>4</v>
      </c>
      <c r="B114" s="98" t="s">
        <v>55</v>
      </c>
      <c r="C114" s="98"/>
      <c r="D114" s="32" t="s">
        <v>3</v>
      </c>
    </row>
    <row r="115" spans="1:4" x14ac:dyDescent="0.2">
      <c r="A115" s="34" t="s">
        <v>52</v>
      </c>
      <c r="B115" s="100" t="s">
        <v>79</v>
      </c>
      <c r="C115" s="100"/>
      <c r="D115" s="14">
        <f>D102</f>
        <v>22.86</v>
      </c>
    </row>
    <row r="116" spans="1:4" x14ac:dyDescent="0.2">
      <c r="A116" s="34" t="s">
        <v>53</v>
      </c>
      <c r="B116" s="100" t="s">
        <v>87</v>
      </c>
      <c r="C116" s="100"/>
      <c r="D116" s="14">
        <f>D109</f>
        <v>0</v>
      </c>
    </row>
    <row r="117" spans="1:4" x14ac:dyDescent="0.2">
      <c r="A117" s="98" t="s">
        <v>16</v>
      </c>
      <c r="B117" s="98"/>
      <c r="C117" s="98"/>
      <c r="D117" s="17">
        <f>SUM(D115:D116)</f>
        <v>22.86</v>
      </c>
    </row>
    <row r="120" spans="1:4" x14ac:dyDescent="0.2">
      <c r="A120" s="99" t="s">
        <v>56</v>
      </c>
      <c r="B120" s="99"/>
      <c r="C120" s="99"/>
      <c r="D120" s="99"/>
    </row>
    <row r="122" spans="1:4" x14ac:dyDescent="0.2">
      <c r="A122" s="32">
        <v>5</v>
      </c>
      <c r="B122" s="109" t="s">
        <v>57</v>
      </c>
      <c r="C122" s="109"/>
      <c r="D122" s="32" t="s">
        <v>3</v>
      </c>
    </row>
    <row r="123" spans="1:4" x14ac:dyDescent="0.2">
      <c r="A123" s="34" t="s">
        <v>4</v>
      </c>
      <c r="B123" s="100" t="s">
        <v>58</v>
      </c>
      <c r="C123" s="100"/>
      <c r="D123" s="13">
        <v>151.96</v>
      </c>
    </row>
    <row r="124" spans="1:4" x14ac:dyDescent="0.2">
      <c r="A124" s="34" t="s">
        <v>6</v>
      </c>
      <c r="B124" s="100" t="s">
        <v>59</v>
      </c>
      <c r="C124" s="100"/>
      <c r="D124" s="13">
        <v>2.2599999999999998</v>
      </c>
    </row>
    <row r="125" spans="1:4" x14ac:dyDescent="0.2">
      <c r="A125" s="34" t="s">
        <v>8</v>
      </c>
      <c r="B125" s="100" t="s">
        <v>60</v>
      </c>
      <c r="C125" s="100"/>
      <c r="D125" s="13">
        <v>21.12</v>
      </c>
    </row>
    <row r="126" spans="1:4" x14ac:dyDescent="0.2">
      <c r="A126" s="34" t="s">
        <v>10</v>
      </c>
      <c r="B126" s="100" t="s">
        <v>180</v>
      </c>
      <c r="C126" s="100"/>
      <c r="D126" s="13">
        <v>93.59</v>
      </c>
    </row>
    <row r="127" spans="1:4" x14ac:dyDescent="0.2">
      <c r="A127" s="93" t="s">
        <v>12</v>
      </c>
      <c r="B127" s="100" t="s">
        <v>208</v>
      </c>
      <c r="C127" s="100"/>
      <c r="D127" s="13">
        <v>84</v>
      </c>
    </row>
    <row r="128" spans="1:4" x14ac:dyDescent="0.2">
      <c r="A128" s="98" t="s">
        <v>36</v>
      </c>
      <c r="B128" s="98"/>
      <c r="C128" s="98"/>
      <c r="D128" s="18">
        <f>SUM(D123:D127)</f>
        <v>352.93</v>
      </c>
    </row>
    <row r="131" spans="1:4" x14ac:dyDescent="0.2">
      <c r="A131" s="99" t="s">
        <v>61</v>
      </c>
      <c r="B131" s="99"/>
      <c r="C131" s="99"/>
      <c r="D131" s="99"/>
    </row>
    <row r="133" spans="1:4" x14ac:dyDescent="0.2">
      <c r="A133" s="32">
        <v>6</v>
      </c>
      <c r="B133" s="33" t="s">
        <v>62</v>
      </c>
      <c r="C133" s="32" t="s">
        <v>25</v>
      </c>
      <c r="D133" s="32" t="s">
        <v>3</v>
      </c>
    </row>
    <row r="134" spans="1:4" x14ac:dyDescent="0.2">
      <c r="A134" s="34" t="s">
        <v>4</v>
      </c>
      <c r="B134" s="31" t="s">
        <v>63</v>
      </c>
      <c r="C134" s="9">
        <v>0.06</v>
      </c>
      <c r="D134" s="14">
        <f>D154*C134</f>
        <v>271.98873900000001</v>
      </c>
    </row>
    <row r="135" spans="1:4" x14ac:dyDescent="0.2">
      <c r="A135" s="34" t="s">
        <v>6</v>
      </c>
      <c r="B135" s="31" t="s">
        <v>64</v>
      </c>
      <c r="C135" s="9">
        <v>6.7900000000000002E-2</v>
      </c>
      <c r="D135" s="13">
        <f>(D154+D134)*C135</f>
        <v>326.26862501310006</v>
      </c>
    </row>
    <row r="136" spans="1:4" x14ac:dyDescent="0.2">
      <c r="A136" s="34" t="s">
        <v>8</v>
      </c>
      <c r="B136" s="31" t="s">
        <v>65</v>
      </c>
      <c r="C136" s="12">
        <f>SUM(C137:C142)</f>
        <v>8.6499999999999994E-2</v>
      </c>
      <c r="D136" s="13">
        <f>(D154+D134+D135)*C136/(1-C136)</f>
        <v>485.89639924699861</v>
      </c>
    </row>
    <row r="137" spans="1:4" x14ac:dyDescent="0.2">
      <c r="A137" s="34"/>
      <c r="B137" s="31" t="s">
        <v>66</v>
      </c>
      <c r="C137" s="9"/>
      <c r="D137" s="14">
        <f>$D$156*C137</f>
        <v>0</v>
      </c>
    </row>
    <row r="138" spans="1:4" x14ac:dyDescent="0.2">
      <c r="A138" s="34"/>
      <c r="B138" s="31" t="s">
        <v>96</v>
      </c>
      <c r="C138" s="9">
        <v>6.4999999999999997E-3</v>
      </c>
      <c r="D138" s="14">
        <f t="shared" ref="D138:D142" si="3">$D$156*C138</f>
        <v>36.512446186190644</v>
      </c>
    </row>
    <row r="139" spans="1:4" x14ac:dyDescent="0.2">
      <c r="A139" s="34"/>
      <c r="B139" s="31" t="s">
        <v>97</v>
      </c>
      <c r="C139" s="9">
        <v>0.03</v>
      </c>
      <c r="D139" s="14">
        <f t="shared" si="3"/>
        <v>168.51898239780297</v>
      </c>
    </row>
    <row r="140" spans="1:4" x14ac:dyDescent="0.2">
      <c r="A140" s="34"/>
      <c r="B140" s="31" t="s">
        <v>67</v>
      </c>
      <c r="C140" s="34"/>
      <c r="D140" s="14">
        <f t="shared" si="3"/>
        <v>0</v>
      </c>
    </row>
    <row r="141" spans="1:4" x14ac:dyDescent="0.2">
      <c r="A141" s="34"/>
      <c r="B141" s="31" t="s">
        <v>68</v>
      </c>
      <c r="C141" s="9"/>
      <c r="D141" s="14">
        <f t="shared" si="3"/>
        <v>0</v>
      </c>
    </row>
    <row r="142" spans="1:4" x14ac:dyDescent="0.2">
      <c r="A142" s="34"/>
      <c r="B142" s="31" t="s">
        <v>98</v>
      </c>
      <c r="C142" s="9">
        <v>0.05</v>
      </c>
      <c r="D142" s="14">
        <f t="shared" si="3"/>
        <v>280.86497066300495</v>
      </c>
    </row>
    <row r="143" spans="1:4" ht="13.5" x14ac:dyDescent="0.2">
      <c r="A143" s="101" t="s">
        <v>36</v>
      </c>
      <c r="B143" s="110"/>
      <c r="C143" s="19">
        <f>(1+C135)*(1+C134)/(1-C136)-1</f>
        <v>0.2391614668856048</v>
      </c>
      <c r="D143" s="17">
        <f>SUM(D134:D136)</f>
        <v>1084.1537632600987</v>
      </c>
    </row>
    <row r="146" spans="1:4" x14ac:dyDescent="0.2">
      <c r="A146" s="99" t="s">
        <v>69</v>
      </c>
      <c r="B146" s="99"/>
      <c r="C146" s="99"/>
      <c r="D146" s="99"/>
    </row>
    <row r="148" spans="1:4" x14ac:dyDescent="0.2">
      <c r="A148" s="32"/>
      <c r="B148" s="98" t="s">
        <v>70</v>
      </c>
      <c r="C148" s="98"/>
      <c r="D148" s="32" t="s">
        <v>3</v>
      </c>
    </row>
    <row r="149" spans="1:4" x14ac:dyDescent="0.2">
      <c r="A149" s="32" t="s">
        <v>4</v>
      </c>
      <c r="B149" s="100" t="s">
        <v>1</v>
      </c>
      <c r="C149" s="100"/>
      <c r="D149" s="20">
        <f>D26</f>
        <v>1912.586</v>
      </c>
    </row>
    <row r="150" spans="1:4" x14ac:dyDescent="0.2">
      <c r="A150" s="32" t="s">
        <v>6</v>
      </c>
      <c r="B150" s="100" t="s">
        <v>17</v>
      </c>
      <c r="C150" s="100"/>
      <c r="D150" s="20">
        <f>D75</f>
        <v>2126.9796500000002</v>
      </c>
    </row>
    <row r="151" spans="1:4" x14ac:dyDescent="0.2">
      <c r="A151" s="32" t="s">
        <v>8</v>
      </c>
      <c r="B151" s="100" t="s">
        <v>44</v>
      </c>
      <c r="C151" s="100"/>
      <c r="D151" s="20">
        <f>D87</f>
        <v>117.78999999999999</v>
      </c>
    </row>
    <row r="152" spans="1:4" x14ac:dyDescent="0.2">
      <c r="A152" s="32" t="s">
        <v>10</v>
      </c>
      <c r="B152" s="100" t="s">
        <v>51</v>
      </c>
      <c r="C152" s="100"/>
      <c r="D152" s="20">
        <f>D117</f>
        <v>22.86</v>
      </c>
    </row>
    <row r="153" spans="1:4" x14ac:dyDescent="0.2">
      <c r="A153" s="32" t="s">
        <v>12</v>
      </c>
      <c r="B153" s="100" t="s">
        <v>56</v>
      </c>
      <c r="C153" s="100"/>
      <c r="D153" s="20">
        <f>D128</f>
        <v>352.93</v>
      </c>
    </row>
    <row r="154" spans="1:4" x14ac:dyDescent="0.2">
      <c r="A154" s="98" t="s">
        <v>95</v>
      </c>
      <c r="B154" s="98"/>
      <c r="C154" s="98"/>
      <c r="D154" s="21">
        <f>SUM(D149:D153)</f>
        <v>4533.1456500000004</v>
      </c>
    </row>
    <row r="155" spans="1:4" x14ac:dyDescent="0.2">
      <c r="A155" s="32" t="s">
        <v>31</v>
      </c>
      <c r="B155" s="100" t="s">
        <v>71</v>
      </c>
      <c r="C155" s="100"/>
      <c r="D155" s="22">
        <f>D143</f>
        <v>1084.1537632600987</v>
      </c>
    </row>
    <row r="156" spans="1:4" x14ac:dyDescent="0.2">
      <c r="A156" s="98" t="s">
        <v>72</v>
      </c>
      <c r="B156" s="98"/>
      <c r="C156" s="98"/>
      <c r="D156" s="21">
        <f>SUM(D154:D155)</f>
        <v>5617.2994132600988</v>
      </c>
    </row>
  </sheetData>
  <mergeCells count="80">
    <mergeCell ref="A154:C154"/>
    <mergeCell ref="B155:C155"/>
    <mergeCell ref="A156:C156"/>
    <mergeCell ref="B148:C148"/>
    <mergeCell ref="B149:C149"/>
    <mergeCell ref="B150:C150"/>
    <mergeCell ref="B151:C151"/>
    <mergeCell ref="B152:C152"/>
    <mergeCell ref="B153:C153"/>
    <mergeCell ref="A146:D146"/>
    <mergeCell ref="A109:C109"/>
    <mergeCell ref="A112:D112"/>
    <mergeCell ref="B114:C114"/>
    <mergeCell ref="B115:C115"/>
    <mergeCell ref="B116:C116"/>
    <mergeCell ref="A117:C117"/>
    <mergeCell ref="A120:D120"/>
    <mergeCell ref="B122:C122"/>
    <mergeCell ref="A128:C128"/>
    <mergeCell ref="A131:D131"/>
    <mergeCell ref="A143:B143"/>
    <mergeCell ref="B123:C123"/>
    <mergeCell ref="B124:C124"/>
    <mergeCell ref="B125:C125"/>
    <mergeCell ref="B126:C126"/>
    <mergeCell ref="B108:C108"/>
    <mergeCell ref="B74:C74"/>
    <mergeCell ref="A75:C75"/>
    <mergeCell ref="A78:D78"/>
    <mergeCell ref="B80:C80"/>
    <mergeCell ref="A87:C87"/>
    <mergeCell ref="A90:D90"/>
    <mergeCell ref="A93:D93"/>
    <mergeCell ref="B95:C95"/>
    <mergeCell ref="A102:C102"/>
    <mergeCell ref="A105:D105"/>
    <mergeCell ref="B107:C107"/>
    <mergeCell ref="B73:C73"/>
    <mergeCell ref="B59:C59"/>
    <mergeCell ref="B60:C60"/>
    <mergeCell ref="B61:C61"/>
    <mergeCell ref="B62:C62"/>
    <mergeCell ref="A66:C66"/>
    <mergeCell ref="A69:D69"/>
    <mergeCell ref="B71:C71"/>
    <mergeCell ref="B72:C72"/>
    <mergeCell ref="B63:C63"/>
    <mergeCell ref="B64:C64"/>
    <mergeCell ref="B65:C65"/>
    <mergeCell ref="B21:C21"/>
    <mergeCell ref="B22:C22"/>
    <mergeCell ref="B23:C23"/>
    <mergeCell ref="B58:C58"/>
    <mergeCell ref="B25:C25"/>
    <mergeCell ref="A26:C26"/>
    <mergeCell ref="A29:D29"/>
    <mergeCell ref="A31:D31"/>
    <mergeCell ref="B33:C33"/>
    <mergeCell ref="A37:B37"/>
    <mergeCell ref="A40:D40"/>
    <mergeCell ref="A51:B51"/>
    <mergeCell ref="A54:D54"/>
    <mergeCell ref="B56:C56"/>
    <mergeCell ref="B57:C57"/>
    <mergeCell ref="B127:C127"/>
    <mergeCell ref="C10:D10"/>
    <mergeCell ref="A1:D1"/>
    <mergeCell ref="A3:D3"/>
    <mergeCell ref="A5:B5"/>
    <mergeCell ref="A6:B6"/>
    <mergeCell ref="A8:D8"/>
    <mergeCell ref="B24:C24"/>
    <mergeCell ref="C11:D11"/>
    <mergeCell ref="C12:D12"/>
    <mergeCell ref="C13:D13"/>
    <mergeCell ref="C14:D14"/>
    <mergeCell ref="A16:D16"/>
    <mergeCell ref="B18:C18"/>
    <mergeCell ref="B19:C19"/>
    <mergeCell ref="B20:C20"/>
  </mergeCells>
  <pageMargins left="0.511811024" right="0.511811024" top="0.78740157499999996" bottom="0.78740157499999996" header="0.31496062000000002" footer="0.31496062000000002"/>
  <pageSetup paperSize="9" scale="84"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56"/>
  <sheetViews>
    <sheetView topLeftCell="A76" zoomScale="115" zoomScaleNormal="115" workbookViewId="0">
      <selection activeCell="F15" sqref="F15:G15"/>
    </sheetView>
  </sheetViews>
  <sheetFormatPr defaultRowHeight="12.75" x14ac:dyDescent="0.2"/>
  <cols>
    <col min="1" max="1" width="9.140625" style="1"/>
    <col min="2" max="2" width="60.28515625" style="1" customWidth="1"/>
    <col min="3" max="3" width="18" style="1" customWidth="1"/>
    <col min="4" max="4" width="21.42578125" style="1" customWidth="1"/>
    <col min="5" max="5" width="15.140625" style="1" customWidth="1"/>
    <col min="6" max="16384" width="9.140625" style="1"/>
  </cols>
  <sheetData>
    <row r="1" spans="1:4" ht="15.75" x14ac:dyDescent="0.25">
      <c r="A1" s="111" t="s">
        <v>0</v>
      </c>
      <c r="B1" s="111"/>
      <c r="C1" s="111"/>
      <c r="D1" s="111"/>
    </row>
    <row r="2" spans="1:4" ht="15.75" x14ac:dyDescent="0.25">
      <c r="A2" s="24"/>
      <c r="B2" s="24"/>
      <c r="C2" s="24"/>
      <c r="D2" s="24"/>
    </row>
    <row r="3" spans="1:4" x14ac:dyDescent="0.2">
      <c r="A3" s="106" t="s">
        <v>89</v>
      </c>
      <c r="B3" s="106"/>
      <c r="C3" s="106"/>
      <c r="D3" s="106"/>
    </row>
    <row r="4" spans="1:4" x14ac:dyDescent="0.2">
      <c r="A4" s="2"/>
      <c r="B4" s="2"/>
      <c r="C4" s="2"/>
      <c r="D4" s="2"/>
    </row>
    <row r="5" spans="1:4" ht="38.25" x14ac:dyDescent="0.2">
      <c r="A5" s="113" t="s">
        <v>90</v>
      </c>
      <c r="B5" s="113"/>
      <c r="C5" s="79" t="s">
        <v>91</v>
      </c>
      <c r="D5" s="25" t="s">
        <v>92</v>
      </c>
    </row>
    <row r="6" spans="1:4" ht="25.5" customHeight="1" x14ac:dyDescent="0.2">
      <c r="A6" s="101" t="s">
        <v>181</v>
      </c>
      <c r="B6" s="102"/>
      <c r="C6" s="35" t="s">
        <v>100</v>
      </c>
      <c r="D6" s="78" t="s">
        <v>120</v>
      </c>
    </row>
    <row r="8" spans="1:4" x14ac:dyDescent="0.2">
      <c r="A8" s="106" t="s">
        <v>73</v>
      </c>
      <c r="B8" s="106"/>
      <c r="C8" s="106"/>
      <c r="D8" s="106"/>
    </row>
    <row r="9" spans="1:4" x14ac:dyDescent="0.2">
      <c r="A9" s="2"/>
      <c r="B9" s="2"/>
      <c r="C9" s="2"/>
      <c r="D9" s="2"/>
    </row>
    <row r="10" spans="1:4" x14ac:dyDescent="0.2">
      <c r="A10" s="5">
        <v>1</v>
      </c>
      <c r="B10" s="5" t="s">
        <v>74</v>
      </c>
      <c r="C10" s="103" t="s">
        <v>113</v>
      </c>
      <c r="D10" s="104"/>
    </row>
    <row r="11" spans="1:4" x14ac:dyDescent="0.2">
      <c r="A11" s="5">
        <v>2</v>
      </c>
      <c r="B11" s="5" t="s">
        <v>93</v>
      </c>
      <c r="C11" s="103">
        <v>517330</v>
      </c>
      <c r="D11" s="104"/>
    </row>
    <row r="12" spans="1:4" x14ac:dyDescent="0.2">
      <c r="A12" s="5">
        <v>3</v>
      </c>
      <c r="B12" s="5" t="s">
        <v>75</v>
      </c>
      <c r="C12" s="103">
        <v>1471.22</v>
      </c>
      <c r="D12" s="104"/>
    </row>
    <row r="13" spans="1:4" x14ac:dyDescent="0.2">
      <c r="A13" s="5">
        <v>4</v>
      </c>
      <c r="B13" s="5" t="s">
        <v>76</v>
      </c>
      <c r="C13" s="103" t="s">
        <v>102</v>
      </c>
      <c r="D13" s="104"/>
    </row>
    <row r="14" spans="1:4" x14ac:dyDescent="0.2">
      <c r="A14" s="5">
        <v>5</v>
      </c>
      <c r="B14" s="5" t="s">
        <v>77</v>
      </c>
      <c r="C14" s="105">
        <v>45292</v>
      </c>
      <c r="D14" s="104"/>
    </row>
    <row r="16" spans="1:4" x14ac:dyDescent="0.2">
      <c r="A16" s="106" t="s">
        <v>1</v>
      </c>
      <c r="B16" s="106"/>
      <c r="C16" s="106"/>
      <c r="D16" s="106"/>
    </row>
    <row r="18" spans="1:4" x14ac:dyDescent="0.2">
      <c r="A18" s="78">
        <v>1</v>
      </c>
      <c r="B18" s="98" t="s">
        <v>2</v>
      </c>
      <c r="C18" s="98"/>
      <c r="D18" s="78" t="s">
        <v>3</v>
      </c>
    </row>
    <row r="19" spans="1:4" x14ac:dyDescent="0.2">
      <c r="A19" s="79" t="s">
        <v>4</v>
      </c>
      <c r="B19" s="100" t="s">
        <v>5</v>
      </c>
      <c r="C19" s="100"/>
      <c r="D19" s="13">
        <v>1471.22</v>
      </c>
    </row>
    <row r="20" spans="1:4" x14ac:dyDescent="0.2">
      <c r="A20" s="79" t="s">
        <v>6</v>
      </c>
      <c r="B20" s="100" t="s">
        <v>7</v>
      </c>
      <c r="C20" s="100"/>
      <c r="D20" s="13">
        <f>D19*0.3</f>
        <v>441.36599999999999</v>
      </c>
    </row>
    <row r="21" spans="1:4" x14ac:dyDescent="0.2">
      <c r="A21" s="79" t="s">
        <v>8</v>
      </c>
      <c r="B21" s="100" t="s">
        <v>9</v>
      </c>
      <c r="C21" s="100"/>
      <c r="D21" s="13"/>
    </row>
    <row r="22" spans="1:4" x14ac:dyDescent="0.2">
      <c r="A22" s="79" t="s">
        <v>10</v>
      </c>
      <c r="B22" s="100" t="s">
        <v>11</v>
      </c>
      <c r="C22" s="100"/>
      <c r="D22" s="13"/>
    </row>
    <row r="23" spans="1:4" x14ac:dyDescent="0.2">
      <c r="A23" s="79" t="s">
        <v>12</v>
      </c>
      <c r="B23" s="100" t="s">
        <v>13</v>
      </c>
      <c r="C23" s="100"/>
      <c r="D23" s="13"/>
    </row>
    <row r="24" spans="1:4" x14ac:dyDescent="0.2">
      <c r="A24" s="79" t="s">
        <v>31</v>
      </c>
      <c r="B24" s="100" t="s">
        <v>114</v>
      </c>
      <c r="C24" s="100"/>
      <c r="D24" s="13">
        <v>0</v>
      </c>
    </row>
    <row r="25" spans="1:4" x14ac:dyDescent="0.2">
      <c r="A25" s="79" t="s">
        <v>14</v>
      </c>
      <c r="B25" s="100" t="s">
        <v>15</v>
      </c>
      <c r="C25" s="100"/>
      <c r="D25" s="13"/>
    </row>
    <row r="26" spans="1:4" x14ac:dyDescent="0.2">
      <c r="A26" s="98" t="s">
        <v>16</v>
      </c>
      <c r="B26" s="98"/>
      <c r="C26" s="98"/>
      <c r="D26" s="18">
        <f>SUM(D19:D25)</f>
        <v>1912.586</v>
      </c>
    </row>
    <row r="29" spans="1:4" x14ac:dyDescent="0.2">
      <c r="A29" s="99" t="s">
        <v>17</v>
      </c>
      <c r="B29" s="99"/>
      <c r="C29" s="99"/>
      <c r="D29" s="99"/>
    </row>
    <row r="30" spans="1:4" x14ac:dyDescent="0.2">
      <c r="A30" s="3"/>
    </row>
    <row r="31" spans="1:4" x14ac:dyDescent="0.2">
      <c r="A31" s="96" t="s">
        <v>18</v>
      </c>
      <c r="B31" s="96"/>
      <c r="C31" s="96"/>
      <c r="D31" s="96"/>
    </row>
    <row r="33" spans="1:4" x14ac:dyDescent="0.2">
      <c r="A33" s="78" t="s">
        <v>19</v>
      </c>
      <c r="B33" s="98" t="s">
        <v>20</v>
      </c>
      <c r="C33" s="98"/>
      <c r="D33" s="78" t="s">
        <v>3</v>
      </c>
    </row>
    <row r="34" spans="1:4" x14ac:dyDescent="0.2">
      <c r="A34" s="79" t="s">
        <v>4</v>
      </c>
      <c r="B34" s="77" t="s">
        <v>21</v>
      </c>
      <c r="C34" s="12">
        <f>TRUNC(1/12,4)</f>
        <v>8.3299999999999999E-2</v>
      </c>
      <c r="D34" s="13">
        <f>TRUNC($D$26*C34,2)</f>
        <v>159.31</v>
      </c>
    </row>
    <row r="35" spans="1:4" x14ac:dyDescent="0.2">
      <c r="A35" s="79" t="s">
        <v>6</v>
      </c>
      <c r="B35" s="77" t="s">
        <v>117</v>
      </c>
      <c r="C35" s="12">
        <f>TRUNC(((1)/12),4)</f>
        <v>8.3299999999999999E-2</v>
      </c>
      <c r="D35" s="13">
        <f>TRUNC($D$26*C35,2)</f>
        <v>159.31</v>
      </c>
    </row>
    <row r="36" spans="1:4" x14ac:dyDescent="0.2">
      <c r="A36" s="79" t="s">
        <v>8</v>
      </c>
      <c r="B36" s="77" t="s">
        <v>118</v>
      </c>
      <c r="C36" s="36">
        <f>TRUNC(((51%)/12),4)</f>
        <v>4.2500000000000003E-2</v>
      </c>
      <c r="D36" s="13">
        <f>TRUNC($D$19*C36,2)</f>
        <v>62.52</v>
      </c>
    </row>
    <row r="37" spans="1:4" x14ac:dyDescent="0.2">
      <c r="A37" s="98" t="s">
        <v>16</v>
      </c>
      <c r="B37" s="98"/>
      <c r="C37" s="26">
        <f>SUM(C34:C36)</f>
        <v>0.20910000000000001</v>
      </c>
      <c r="D37" s="17">
        <f>SUM(D34:D36)</f>
        <v>381.14</v>
      </c>
    </row>
    <row r="40" spans="1:4" x14ac:dyDescent="0.2">
      <c r="A40" s="112" t="s">
        <v>22</v>
      </c>
      <c r="B40" s="112"/>
      <c r="C40" s="112"/>
      <c r="D40" s="112"/>
    </row>
    <row r="42" spans="1:4" x14ac:dyDescent="0.2">
      <c r="A42" s="78" t="s">
        <v>23</v>
      </c>
      <c r="B42" s="78" t="s">
        <v>24</v>
      </c>
      <c r="C42" s="78" t="s">
        <v>25</v>
      </c>
      <c r="D42" s="78" t="s">
        <v>3</v>
      </c>
    </row>
    <row r="43" spans="1:4" x14ac:dyDescent="0.2">
      <c r="A43" s="79" t="s">
        <v>4</v>
      </c>
      <c r="B43" s="77" t="s">
        <v>26</v>
      </c>
      <c r="C43" s="9">
        <v>0.2</v>
      </c>
      <c r="D43" s="13">
        <f>TRUNC(($D$26+$D$37)*C43,2)</f>
        <v>458.74</v>
      </c>
    </row>
    <row r="44" spans="1:4" x14ac:dyDescent="0.2">
      <c r="A44" s="79" t="s">
        <v>6</v>
      </c>
      <c r="B44" s="77" t="s">
        <v>27</v>
      </c>
      <c r="C44" s="9">
        <v>2.5000000000000001E-2</v>
      </c>
      <c r="D44" s="13">
        <f t="shared" ref="D44:D50" si="0">TRUNC(($D$26+$D$37)*C44,2)</f>
        <v>57.34</v>
      </c>
    </row>
    <row r="45" spans="1:4" x14ac:dyDescent="0.2">
      <c r="A45" s="79" t="s">
        <v>8</v>
      </c>
      <c r="B45" s="77" t="s">
        <v>28</v>
      </c>
      <c r="C45" s="16">
        <v>0.03</v>
      </c>
      <c r="D45" s="13">
        <f t="shared" si="0"/>
        <v>68.81</v>
      </c>
    </row>
    <row r="46" spans="1:4" x14ac:dyDescent="0.2">
      <c r="A46" s="79" t="s">
        <v>10</v>
      </c>
      <c r="B46" s="77" t="s">
        <v>29</v>
      </c>
      <c r="C46" s="9">
        <v>1.4999999999999999E-2</v>
      </c>
      <c r="D46" s="13">
        <f t="shared" si="0"/>
        <v>34.4</v>
      </c>
    </row>
    <row r="47" spans="1:4" x14ac:dyDescent="0.2">
      <c r="A47" s="79" t="s">
        <v>12</v>
      </c>
      <c r="B47" s="77" t="s">
        <v>30</v>
      </c>
      <c r="C47" s="9">
        <v>0.01</v>
      </c>
      <c r="D47" s="13">
        <f t="shared" si="0"/>
        <v>22.93</v>
      </c>
    </row>
    <row r="48" spans="1:4" x14ac:dyDescent="0.2">
      <c r="A48" s="79" t="s">
        <v>31</v>
      </c>
      <c r="B48" s="77" t="s">
        <v>32</v>
      </c>
      <c r="C48" s="9">
        <v>6.0000000000000001E-3</v>
      </c>
      <c r="D48" s="13">
        <f t="shared" si="0"/>
        <v>13.76</v>
      </c>
    </row>
    <row r="49" spans="1:4" x14ac:dyDescent="0.2">
      <c r="A49" s="79" t="s">
        <v>14</v>
      </c>
      <c r="B49" s="77" t="s">
        <v>33</v>
      </c>
      <c r="C49" s="9">
        <v>2E-3</v>
      </c>
      <c r="D49" s="13">
        <f t="shared" si="0"/>
        <v>4.58</v>
      </c>
    </row>
    <row r="50" spans="1:4" x14ac:dyDescent="0.2">
      <c r="A50" s="79" t="s">
        <v>34</v>
      </c>
      <c r="B50" s="77" t="s">
        <v>35</v>
      </c>
      <c r="C50" s="9">
        <v>0.08</v>
      </c>
      <c r="D50" s="13">
        <f t="shared" si="0"/>
        <v>183.49</v>
      </c>
    </row>
    <row r="51" spans="1:4" x14ac:dyDescent="0.2">
      <c r="A51" s="98" t="s">
        <v>36</v>
      </c>
      <c r="B51" s="98"/>
      <c r="C51" s="15">
        <f>SUM(C43:C50)</f>
        <v>0.36800000000000005</v>
      </c>
      <c r="D51" s="17">
        <f>SUM(D43:D50)</f>
        <v>844.05000000000007</v>
      </c>
    </row>
    <row r="54" spans="1:4" x14ac:dyDescent="0.2">
      <c r="A54" s="96" t="s">
        <v>37</v>
      </c>
      <c r="B54" s="96"/>
      <c r="C54" s="96"/>
      <c r="D54" s="96"/>
    </row>
    <row r="56" spans="1:4" x14ac:dyDescent="0.2">
      <c r="A56" s="78" t="s">
        <v>38</v>
      </c>
      <c r="B56" s="97" t="s">
        <v>39</v>
      </c>
      <c r="C56" s="97"/>
      <c r="D56" s="78" t="s">
        <v>3</v>
      </c>
    </row>
    <row r="57" spans="1:4" x14ac:dyDescent="0.2">
      <c r="A57" s="79" t="s">
        <v>4</v>
      </c>
      <c r="B57" s="100" t="s">
        <v>40</v>
      </c>
      <c r="C57" s="100"/>
      <c r="D57" s="13">
        <f>(22*2*3.92)-(D19*0.06)</f>
        <v>84.206799999999987</v>
      </c>
    </row>
    <row r="58" spans="1:4" x14ac:dyDescent="0.2">
      <c r="A58" s="79" t="s">
        <v>6</v>
      </c>
      <c r="B58" s="100" t="s">
        <v>41</v>
      </c>
      <c r="C58" s="100"/>
      <c r="D58" s="13">
        <f>16.59*22*0.85</f>
        <v>310.233</v>
      </c>
    </row>
    <row r="59" spans="1:4" x14ac:dyDescent="0.2">
      <c r="A59" s="79" t="s">
        <v>8</v>
      </c>
      <c r="B59" s="100" t="s">
        <v>110</v>
      </c>
      <c r="C59" s="100"/>
      <c r="D59" s="13"/>
    </row>
    <row r="60" spans="1:4" x14ac:dyDescent="0.2">
      <c r="A60" s="79" t="s">
        <v>10</v>
      </c>
      <c r="B60" s="100" t="s">
        <v>104</v>
      </c>
      <c r="C60" s="100"/>
      <c r="D60" s="13">
        <v>8.5</v>
      </c>
    </row>
    <row r="61" spans="1:4" x14ac:dyDescent="0.2">
      <c r="A61" s="79" t="s">
        <v>12</v>
      </c>
      <c r="B61" s="100" t="s">
        <v>105</v>
      </c>
      <c r="C61" s="100"/>
      <c r="D61" s="13">
        <v>3.5</v>
      </c>
    </row>
    <row r="62" spans="1:4" x14ac:dyDescent="0.2">
      <c r="A62" s="79" t="s">
        <v>31</v>
      </c>
      <c r="B62" s="100" t="s">
        <v>111</v>
      </c>
      <c r="C62" s="100"/>
      <c r="D62" s="13"/>
    </row>
    <row r="63" spans="1:4" x14ac:dyDescent="0.2">
      <c r="A63" s="79" t="s">
        <v>14</v>
      </c>
      <c r="B63" s="100" t="s">
        <v>179</v>
      </c>
      <c r="C63" s="100"/>
      <c r="D63" s="13"/>
    </row>
    <row r="64" spans="1:4" x14ac:dyDescent="0.2">
      <c r="A64" s="93" t="s">
        <v>34</v>
      </c>
      <c r="B64" s="100" t="s">
        <v>207</v>
      </c>
      <c r="C64" s="100"/>
      <c r="D64" s="13">
        <f>D19*0.22*(21/24)</f>
        <v>283.20985000000002</v>
      </c>
    </row>
    <row r="65" spans="1:4" x14ac:dyDescent="0.2">
      <c r="A65" s="93" t="s">
        <v>206</v>
      </c>
      <c r="B65" s="100" t="s">
        <v>209</v>
      </c>
      <c r="C65" s="100"/>
      <c r="D65" s="13">
        <f>233.73*(2/3)</f>
        <v>155.82</v>
      </c>
    </row>
    <row r="66" spans="1:4" x14ac:dyDescent="0.2">
      <c r="A66" s="98" t="s">
        <v>16</v>
      </c>
      <c r="B66" s="98"/>
      <c r="C66" s="98"/>
      <c r="D66" s="17">
        <f>SUM(D57:D65)</f>
        <v>845.46965</v>
      </c>
    </row>
    <row r="69" spans="1:4" x14ac:dyDescent="0.2">
      <c r="A69" s="96" t="s">
        <v>42</v>
      </c>
      <c r="B69" s="96"/>
      <c r="C69" s="96"/>
      <c r="D69" s="96"/>
    </row>
    <row r="71" spans="1:4" x14ac:dyDescent="0.2">
      <c r="A71" s="78">
        <v>2</v>
      </c>
      <c r="B71" s="97" t="s">
        <v>43</v>
      </c>
      <c r="C71" s="97"/>
      <c r="D71" s="78" t="s">
        <v>3</v>
      </c>
    </row>
    <row r="72" spans="1:4" x14ac:dyDescent="0.2">
      <c r="A72" s="79" t="s">
        <v>19</v>
      </c>
      <c r="B72" s="100" t="s">
        <v>20</v>
      </c>
      <c r="C72" s="100"/>
      <c r="D72" s="14">
        <f>D37</f>
        <v>381.14</v>
      </c>
    </row>
    <row r="73" spans="1:4" x14ac:dyDescent="0.2">
      <c r="A73" s="79" t="s">
        <v>23</v>
      </c>
      <c r="B73" s="100" t="s">
        <v>24</v>
      </c>
      <c r="C73" s="100"/>
      <c r="D73" s="14">
        <f>D51</f>
        <v>844.05000000000007</v>
      </c>
    </row>
    <row r="74" spans="1:4" x14ac:dyDescent="0.2">
      <c r="A74" s="79" t="s">
        <v>38</v>
      </c>
      <c r="B74" s="100" t="s">
        <v>39</v>
      </c>
      <c r="C74" s="100"/>
      <c r="D74" s="14">
        <f>D66</f>
        <v>845.46965</v>
      </c>
    </row>
    <row r="75" spans="1:4" x14ac:dyDescent="0.2">
      <c r="A75" s="98" t="s">
        <v>16</v>
      </c>
      <c r="B75" s="98"/>
      <c r="C75" s="98"/>
      <c r="D75" s="17">
        <f>SUM(D72:D74)</f>
        <v>2070.6596500000001</v>
      </c>
    </row>
    <row r="76" spans="1:4" x14ac:dyDescent="0.2">
      <c r="A76" s="4"/>
    </row>
    <row r="78" spans="1:4" x14ac:dyDescent="0.2">
      <c r="A78" s="99" t="s">
        <v>44</v>
      </c>
      <c r="B78" s="99"/>
      <c r="C78" s="99"/>
      <c r="D78" s="99"/>
    </row>
    <row r="79" spans="1:4" ht="12.75" customHeight="1" x14ac:dyDescent="0.2"/>
    <row r="80" spans="1:4" x14ac:dyDescent="0.2">
      <c r="A80" s="78">
        <v>3</v>
      </c>
      <c r="B80" s="97" t="s">
        <v>45</v>
      </c>
      <c r="C80" s="97"/>
      <c r="D80" s="78" t="s">
        <v>3</v>
      </c>
    </row>
    <row r="81" spans="1:4" x14ac:dyDescent="0.2">
      <c r="A81" s="79" t="s">
        <v>4</v>
      </c>
      <c r="B81" s="10" t="s">
        <v>46</v>
      </c>
      <c r="C81" s="9">
        <f>TRUNC(((1/12)*5%),4)</f>
        <v>4.1000000000000003E-3</v>
      </c>
      <c r="D81" s="13">
        <f>TRUNC($D$26*C81,2)</f>
        <v>7.84</v>
      </c>
    </row>
    <row r="82" spans="1:4" x14ac:dyDescent="0.2">
      <c r="A82" s="79" t="s">
        <v>6</v>
      </c>
      <c r="B82" s="10" t="s">
        <v>47</v>
      </c>
      <c r="C82" s="9">
        <v>0.08</v>
      </c>
      <c r="D82" s="13">
        <f>TRUNC(D81*C82,2)</f>
        <v>0.62</v>
      </c>
    </row>
    <row r="83" spans="1:4" x14ac:dyDescent="0.2">
      <c r="A83" s="79" t="s">
        <v>8</v>
      </c>
      <c r="B83" s="10" t="s">
        <v>48</v>
      </c>
      <c r="C83" s="9">
        <f>TRUNC(8%*5%*40%,4)</f>
        <v>1.6000000000000001E-3</v>
      </c>
      <c r="D83" s="13">
        <f>TRUNC($D$26*C83,2)</f>
        <v>3.06</v>
      </c>
    </row>
    <row r="84" spans="1:4" x14ac:dyDescent="0.2">
      <c r="A84" s="79" t="s">
        <v>10</v>
      </c>
      <c r="B84" s="10" t="s">
        <v>49</v>
      </c>
      <c r="C84" s="9">
        <f>TRUNC(((7/30)/12)*95%,4)</f>
        <v>1.84E-2</v>
      </c>
      <c r="D84" s="13">
        <f>TRUNC($D$26*C84,2)</f>
        <v>35.19</v>
      </c>
    </row>
    <row r="85" spans="1:4" ht="25.5" x14ac:dyDescent="0.2">
      <c r="A85" s="79" t="s">
        <v>12</v>
      </c>
      <c r="B85" s="10" t="s">
        <v>94</v>
      </c>
      <c r="C85" s="9">
        <f>C51</f>
        <v>0.36800000000000005</v>
      </c>
      <c r="D85" s="13">
        <f>TRUNC(D84*C85,2)</f>
        <v>12.94</v>
      </c>
    </row>
    <row r="86" spans="1:4" x14ac:dyDescent="0.2">
      <c r="A86" s="79" t="s">
        <v>31</v>
      </c>
      <c r="B86" s="10" t="s">
        <v>50</v>
      </c>
      <c r="C86" s="9">
        <f>TRUNC(8%*95%*40%,4)</f>
        <v>3.04E-2</v>
      </c>
      <c r="D86" s="13">
        <f t="shared" ref="D86" si="1">TRUNC($D$26*C86,2)</f>
        <v>58.14</v>
      </c>
    </row>
    <row r="87" spans="1:4" x14ac:dyDescent="0.2">
      <c r="A87" s="101" t="s">
        <v>16</v>
      </c>
      <c r="B87" s="110"/>
      <c r="C87" s="102"/>
      <c r="D87" s="17">
        <f>SUM(D81:D86)</f>
        <v>117.78999999999999</v>
      </c>
    </row>
    <row r="90" spans="1:4" x14ac:dyDescent="0.2">
      <c r="A90" s="99" t="s">
        <v>51</v>
      </c>
      <c r="B90" s="99"/>
      <c r="C90" s="99"/>
      <c r="D90" s="99"/>
    </row>
    <row r="93" spans="1:4" x14ac:dyDescent="0.2">
      <c r="A93" s="96" t="s">
        <v>78</v>
      </c>
      <c r="B93" s="96"/>
      <c r="C93" s="96"/>
      <c r="D93" s="96"/>
    </row>
    <row r="94" spans="1:4" x14ac:dyDescent="0.2">
      <c r="A94" s="3"/>
    </row>
    <row r="95" spans="1:4" x14ac:dyDescent="0.2">
      <c r="A95" s="78" t="s">
        <v>52</v>
      </c>
      <c r="B95" s="97" t="s">
        <v>79</v>
      </c>
      <c r="C95" s="97"/>
      <c r="D95" s="78" t="s">
        <v>3</v>
      </c>
    </row>
    <row r="96" spans="1:4" x14ac:dyDescent="0.2">
      <c r="A96" s="79" t="s">
        <v>4</v>
      </c>
      <c r="B96" s="77" t="s">
        <v>80</v>
      </c>
      <c r="C96" s="9">
        <f>TRUNC(((1+1/3)/12)/12,4)*0</f>
        <v>0</v>
      </c>
      <c r="D96" s="13">
        <f t="shared" ref="D96:D101" si="2">TRUNC(($D$26+$D$75+$D$87)*C96,2)</f>
        <v>0</v>
      </c>
    </row>
    <row r="97" spans="1:4" x14ac:dyDescent="0.2">
      <c r="A97" s="79" t="s">
        <v>6</v>
      </c>
      <c r="B97" s="77" t="s">
        <v>81</v>
      </c>
      <c r="C97" s="9">
        <f>TRUNC(((2/30)/12),4)</f>
        <v>5.4999999999999997E-3</v>
      </c>
      <c r="D97" s="13">
        <f t="shared" si="2"/>
        <v>22.55</v>
      </c>
    </row>
    <row r="98" spans="1:4" x14ac:dyDescent="0.2">
      <c r="A98" s="79" t="s">
        <v>8</v>
      </c>
      <c r="B98" s="77" t="s">
        <v>82</v>
      </c>
      <c r="C98" s="9">
        <f>TRUNC(((5/30)/12)*2%,4)*0</f>
        <v>0</v>
      </c>
      <c r="D98" s="13">
        <f t="shared" si="2"/>
        <v>0</v>
      </c>
    </row>
    <row r="99" spans="1:4" x14ac:dyDescent="0.2">
      <c r="A99" s="79" t="s">
        <v>10</v>
      </c>
      <c r="B99" s="77" t="s">
        <v>83</v>
      </c>
      <c r="C99" s="9">
        <f>TRUNC(((15/30)/12)*8%,4)*0</f>
        <v>0</v>
      </c>
      <c r="D99" s="13">
        <f t="shared" si="2"/>
        <v>0</v>
      </c>
    </row>
    <row r="100" spans="1:4" x14ac:dyDescent="0.2">
      <c r="A100" s="79" t="s">
        <v>12</v>
      </c>
      <c r="B100" s="77" t="s">
        <v>84</v>
      </c>
      <c r="C100" s="9">
        <f>((1+1/3)/12)*3%*(4/12)*0</f>
        <v>0</v>
      </c>
      <c r="D100" s="13">
        <f t="shared" si="2"/>
        <v>0</v>
      </c>
    </row>
    <row r="101" spans="1:4" x14ac:dyDescent="0.2">
      <c r="A101" s="79" t="s">
        <v>31</v>
      </c>
      <c r="B101" s="77" t="s">
        <v>85</v>
      </c>
      <c r="C101" s="9"/>
      <c r="D101" s="13">
        <f t="shared" si="2"/>
        <v>0</v>
      </c>
    </row>
    <row r="102" spans="1:4" x14ac:dyDescent="0.2">
      <c r="A102" s="98" t="s">
        <v>36</v>
      </c>
      <c r="B102" s="98"/>
      <c r="C102" s="98"/>
      <c r="D102" s="17">
        <f>SUM(D96:D101)</f>
        <v>22.55</v>
      </c>
    </row>
    <row r="105" spans="1:4" x14ac:dyDescent="0.2">
      <c r="A105" s="96" t="s">
        <v>86</v>
      </c>
      <c r="B105" s="96"/>
      <c r="C105" s="96"/>
      <c r="D105" s="96"/>
    </row>
    <row r="106" spans="1:4" x14ac:dyDescent="0.2">
      <c r="A106" s="3"/>
    </row>
    <row r="107" spans="1:4" x14ac:dyDescent="0.2">
      <c r="A107" s="78" t="s">
        <v>53</v>
      </c>
      <c r="B107" s="97" t="s">
        <v>87</v>
      </c>
      <c r="C107" s="97"/>
      <c r="D107" s="78" t="s">
        <v>3</v>
      </c>
    </row>
    <row r="108" spans="1:4" x14ac:dyDescent="0.2">
      <c r="A108" s="79" t="s">
        <v>4</v>
      </c>
      <c r="B108" s="107" t="s">
        <v>88</v>
      </c>
      <c r="C108" s="108"/>
      <c r="D108" s="13">
        <f>((D26+D75+D87)/220)*22*0</f>
        <v>0</v>
      </c>
    </row>
    <row r="109" spans="1:4" x14ac:dyDescent="0.2">
      <c r="A109" s="98" t="s">
        <v>16</v>
      </c>
      <c r="B109" s="98"/>
      <c r="C109" s="98"/>
      <c r="D109" s="17">
        <f>SUM(D108)</f>
        <v>0</v>
      </c>
    </row>
    <row r="112" spans="1:4" x14ac:dyDescent="0.2">
      <c r="A112" s="96" t="s">
        <v>54</v>
      </c>
      <c r="B112" s="96"/>
      <c r="C112" s="96"/>
      <c r="D112" s="96"/>
    </row>
    <row r="113" spans="1:4" x14ac:dyDescent="0.2">
      <c r="A113" s="3"/>
    </row>
    <row r="114" spans="1:4" x14ac:dyDescent="0.2">
      <c r="A114" s="78">
        <v>4</v>
      </c>
      <c r="B114" s="98" t="s">
        <v>55</v>
      </c>
      <c r="C114" s="98"/>
      <c r="D114" s="78" t="s">
        <v>3</v>
      </c>
    </row>
    <row r="115" spans="1:4" x14ac:dyDescent="0.2">
      <c r="A115" s="79" t="s">
        <v>52</v>
      </c>
      <c r="B115" s="100" t="s">
        <v>79</v>
      </c>
      <c r="C115" s="100"/>
      <c r="D115" s="14">
        <f>D102</f>
        <v>22.55</v>
      </c>
    </row>
    <row r="116" spans="1:4" x14ac:dyDescent="0.2">
      <c r="A116" s="79" t="s">
        <v>53</v>
      </c>
      <c r="B116" s="100" t="s">
        <v>87</v>
      </c>
      <c r="C116" s="100"/>
      <c r="D116" s="14">
        <f>D109</f>
        <v>0</v>
      </c>
    </row>
    <row r="117" spans="1:4" x14ac:dyDescent="0.2">
      <c r="A117" s="98" t="s">
        <v>16</v>
      </c>
      <c r="B117" s="98"/>
      <c r="C117" s="98"/>
      <c r="D117" s="17">
        <f>SUM(D115:D116)</f>
        <v>22.55</v>
      </c>
    </row>
    <row r="120" spans="1:4" x14ac:dyDescent="0.2">
      <c r="A120" s="99" t="s">
        <v>56</v>
      </c>
      <c r="B120" s="99"/>
      <c r="C120" s="99"/>
      <c r="D120" s="99"/>
    </row>
    <row r="122" spans="1:4" x14ac:dyDescent="0.2">
      <c r="A122" s="78">
        <v>5</v>
      </c>
      <c r="B122" s="109" t="s">
        <v>57</v>
      </c>
      <c r="C122" s="109"/>
      <c r="D122" s="78" t="s">
        <v>3</v>
      </c>
    </row>
    <row r="123" spans="1:4" x14ac:dyDescent="0.2">
      <c r="A123" s="79" t="s">
        <v>4</v>
      </c>
      <c r="B123" s="100" t="s">
        <v>58</v>
      </c>
      <c r="C123" s="100"/>
      <c r="D123" s="13">
        <v>151.96</v>
      </c>
    </row>
    <row r="124" spans="1:4" x14ac:dyDescent="0.2">
      <c r="A124" s="79" t="s">
        <v>6</v>
      </c>
      <c r="B124" s="100" t="s">
        <v>59</v>
      </c>
      <c r="C124" s="100"/>
      <c r="D124" s="13">
        <v>2.2599999999999998</v>
      </c>
    </row>
    <row r="125" spans="1:4" x14ac:dyDescent="0.2">
      <c r="A125" s="79" t="s">
        <v>8</v>
      </c>
      <c r="B125" s="100" t="s">
        <v>60</v>
      </c>
      <c r="C125" s="100"/>
      <c r="D125" s="13">
        <v>21.12</v>
      </c>
    </row>
    <row r="126" spans="1:4" x14ac:dyDescent="0.2">
      <c r="A126" s="79" t="s">
        <v>10</v>
      </c>
      <c r="B126" s="100" t="s">
        <v>180</v>
      </c>
      <c r="C126" s="100"/>
      <c r="D126" s="13">
        <v>93.59</v>
      </c>
    </row>
    <row r="127" spans="1:4" x14ac:dyDescent="0.2">
      <c r="A127" s="93" t="s">
        <v>12</v>
      </c>
      <c r="B127" s="100" t="s">
        <v>208</v>
      </c>
      <c r="C127" s="100"/>
      <c r="D127" s="13">
        <v>84</v>
      </c>
    </row>
    <row r="128" spans="1:4" x14ac:dyDescent="0.2">
      <c r="A128" s="98" t="s">
        <v>36</v>
      </c>
      <c r="B128" s="98"/>
      <c r="C128" s="98"/>
      <c r="D128" s="18">
        <f>SUM(D123:D127)</f>
        <v>352.93</v>
      </c>
    </row>
    <row r="131" spans="1:4" x14ac:dyDescent="0.2">
      <c r="A131" s="99" t="s">
        <v>61</v>
      </c>
      <c r="B131" s="99"/>
      <c r="C131" s="99"/>
      <c r="D131" s="99"/>
    </row>
    <row r="133" spans="1:4" x14ac:dyDescent="0.2">
      <c r="A133" s="78">
        <v>6</v>
      </c>
      <c r="B133" s="80" t="s">
        <v>62</v>
      </c>
      <c r="C133" s="78" t="s">
        <v>25</v>
      </c>
      <c r="D133" s="78" t="s">
        <v>3</v>
      </c>
    </row>
    <row r="134" spans="1:4" x14ac:dyDescent="0.2">
      <c r="A134" s="79" t="s">
        <v>4</v>
      </c>
      <c r="B134" s="77" t="s">
        <v>63</v>
      </c>
      <c r="C134" s="9">
        <v>0.06</v>
      </c>
      <c r="D134" s="14">
        <f>D154*C134</f>
        <v>268.59093899999999</v>
      </c>
    </row>
    <row r="135" spans="1:4" x14ac:dyDescent="0.2">
      <c r="A135" s="79" t="s">
        <v>6</v>
      </c>
      <c r="B135" s="77" t="s">
        <v>64</v>
      </c>
      <c r="C135" s="9">
        <v>6.7900000000000002E-2</v>
      </c>
      <c r="D135" s="13">
        <f>(D154+D134)*C135</f>
        <v>322.1927373931</v>
      </c>
    </row>
    <row r="136" spans="1:4" x14ac:dyDescent="0.2">
      <c r="A136" s="79" t="s">
        <v>8</v>
      </c>
      <c r="B136" s="77" t="s">
        <v>65</v>
      </c>
      <c r="C136" s="12">
        <f>SUM(C137:C142)</f>
        <v>8.6499999999999994E-2</v>
      </c>
      <c r="D136" s="13">
        <f>(D154+D134+D135)*C136/(1-C136)</f>
        <v>479.82637299726673</v>
      </c>
    </row>
    <row r="137" spans="1:4" x14ac:dyDescent="0.2">
      <c r="A137" s="79"/>
      <c r="B137" s="77" t="s">
        <v>66</v>
      </c>
      <c r="C137" s="9"/>
      <c r="D137" s="14">
        <f>$D$156*C137</f>
        <v>0</v>
      </c>
    </row>
    <row r="138" spans="1:4" x14ac:dyDescent="0.2">
      <c r="A138" s="79"/>
      <c r="B138" s="77" t="s">
        <v>96</v>
      </c>
      <c r="C138" s="9">
        <v>6.4999999999999997E-3</v>
      </c>
      <c r="D138" s="14">
        <f t="shared" ref="D138:D142" si="3">$D$156*C138</f>
        <v>36.056317046037385</v>
      </c>
    </row>
    <row r="139" spans="1:4" x14ac:dyDescent="0.2">
      <c r="A139" s="79"/>
      <c r="B139" s="77" t="s">
        <v>97</v>
      </c>
      <c r="C139" s="9">
        <v>0.03</v>
      </c>
      <c r="D139" s="14">
        <f t="shared" si="3"/>
        <v>166.413770981711</v>
      </c>
    </row>
    <row r="140" spans="1:4" x14ac:dyDescent="0.2">
      <c r="A140" s="79"/>
      <c r="B140" s="77" t="s">
        <v>67</v>
      </c>
      <c r="C140" s="79"/>
      <c r="D140" s="14">
        <f t="shared" si="3"/>
        <v>0</v>
      </c>
    </row>
    <row r="141" spans="1:4" x14ac:dyDescent="0.2">
      <c r="A141" s="79"/>
      <c r="B141" s="77" t="s">
        <v>68</v>
      </c>
      <c r="C141" s="9"/>
      <c r="D141" s="14">
        <f t="shared" si="3"/>
        <v>0</v>
      </c>
    </row>
    <row r="142" spans="1:4" x14ac:dyDescent="0.2">
      <c r="A142" s="79"/>
      <c r="B142" s="77" t="s">
        <v>98</v>
      </c>
      <c r="C142" s="9">
        <v>0.05</v>
      </c>
      <c r="D142" s="14">
        <f t="shared" si="3"/>
        <v>277.35628496951836</v>
      </c>
    </row>
    <row r="143" spans="1:4" ht="13.5" x14ac:dyDescent="0.2">
      <c r="A143" s="101" t="s">
        <v>36</v>
      </c>
      <c r="B143" s="110"/>
      <c r="C143" s="19">
        <f>(1+C135)*(1+C134)/(1-C136)-1</f>
        <v>0.2391614668856048</v>
      </c>
      <c r="D143" s="17">
        <f>SUM(D134:D136)</f>
        <v>1070.6100493903668</v>
      </c>
    </row>
    <row r="146" spans="1:4" x14ac:dyDescent="0.2">
      <c r="A146" s="99" t="s">
        <v>69</v>
      </c>
      <c r="B146" s="99"/>
      <c r="C146" s="99"/>
      <c r="D146" s="99"/>
    </row>
    <row r="148" spans="1:4" x14ac:dyDescent="0.2">
      <c r="A148" s="78"/>
      <c r="B148" s="98" t="s">
        <v>70</v>
      </c>
      <c r="C148" s="98"/>
      <c r="D148" s="78" t="s">
        <v>3</v>
      </c>
    </row>
    <row r="149" spans="1:4" x14ac:dyDescent="0.2">
      <c r="A149" s="78" t="s">
        <v>4</v>
      </c>
      <c r="B149" s="100" t="s">
        <v>1</v>
      </c>
      <c r="C149" s="100"/>
      <c r="D149" s="20">
        <f>D26</f>
        <v>1912.586</v>
      </c>
    </row>
    <row r="150" spans="1:4" x14ac:dyDescent="0.2">
      <c r="A150" s="78" t="s">
        <v>6</v>
      </c>
      <c r="B150" s="100" t="s">
        <v>17</v>
      </c>
      <c r="C150" s="100"/>
      <c r="D150" s="20">
        <f>D75</f>
        <v>2070.6596500000001</v>
      </c>
    </row>
    <row r="151" spans="1:4" x14ac:dyDescent="0.2">
      <c r="A151" s="78" t="s">
        <v>8</v>
      </c>
      <c r="B151" s="100" t="s">
        <v>44</v>
      </c>
      <c r="C151" s="100"/>
      <c r="D151" s="20">
        <f>D87</f>
        <v>117.78999999999999</v>
      </c>
    </row>
    <row r="152" spans="1:4" x14ac:dyDescent="0.2">
      <c r="A152" s="78" t="s">
        <v>10</v>
      </c>
      <c r="B152" s="100" t="s">
        <v>51</v>
      </c>
      <c r="C152" s="100"/>
      <c r="D152" s="20">
        <f>D117</f>
        <v>22.55</v>
      </c>
    </row>
    <row r="153" spans="1:4" x14ac:dyDescent="0.2">
      <c r="A153" s="78" t="s">
        <v>12</v>
      </c>
      <c r="B153" s="100" t="s">
        <v>56</v>
      </c>
      <c r="C153" s="100"/>
      <c r="D153" s="20">
        <f>D128</f>
        <v>352.93</v>
      </c>
    </row>
    <row r="154" spans="1:4" x14ac:dyDescent="0.2">
      <c r="A154" s="98" t="s">
        <v>95</v>
      </c>
      <c r="B154" s="98"/>
      <c r="C154" s="98"/>
      <c r="D154" s="21">
        <f>SUM(D149:D153)</f>
        <v>4476.5156500000003</v>
      </c>
    </row>
    <row r="155" spans="1:4" x14ac:dyDescent="0.2">
      <c r="A155" s="78" t="s">
        <v>31</v>
      </c>
      <c r="B155" s="100" t="s">
        <v>71</v>
      </c>
      <c r="C155" s="100"/>
      <c r="D155" s="22">
        <f>D143</f>
        <v>1070.6100493903668</v>
      </c>
    </row>
    <row r="156" spans="1:4" x14ac:dyDescent="0.2">
      <c r="A156" s="98" t="s">
        <v>72</v>
      </c>
      <c r="B156" s="98"/>
      <c r="C156" s="98"/>
      <c r="D156" s="21">
        <f>SUM(D154:D155)</f>
        <v>5547.1256993903671</v>
      </c>
    </row>
  </sheetData>
  <mergeCells count="80">
    <mergeCell ref="A156:C156"/>
    <mergeCell ref="B150:C150"/>
    <mergeCell ref="B151:C151"/>
    <mergeCell ref="B152:C152"/>
    <mergeCell ref="B153:C153"/>
    <mergeCell ref="A154:C154"/>
    <mergeCell ref="B155:C155"/>
    <mergeCell ref="B149:C149"/>
    <mergeCell ref="B114:C114"/>
    <mergeCell ref="B115:C115"/>
    <mergeCell ref="B116:C116"/>
    <mergeCell ref="A117:C117"/>
    <mergeCell ref="A120:D120"/>
    <mergeCell ref="B122:C122"/>
    <mergeCell ref="A128:C128"/>
    <mergeCell ref="A131:D131"/>
    <mergeCell ref="A143:B143"/>
    <mergeCell ref="A146:D146"/>
    <mergeCell ref="B148:C148"/>
    <mergeCell ref="B123:C123"/>
    <mergeCell ref="B124:C124"/>
    <mergeCell ref="B125:C125"/>
    <mergeCell ref="B126:C126"/>
    <mergeCell ref="A112:D112"/>
    <mergeCell ref="A78:D78"/>
    <mergeCell ref="B80:C80"/>
    <mergeCell ref="A87:C87"/>
    <mergeCell ref="A90:D90"/>
    <mergeCell ref="A93:D93"/>
    <mergeCell ref="B95:C95"/>
    <mergeCell ref="A102:C102"/>
    <mergeCell ref="A105:D105"/>
    <mergeCell ref="B107:C107"/>
    <mergeCell ref="B108:C108"/>
    <mergeCell ref="A109:C109"/>
    <mergeCell ref="A75:C75"/>
    <mergeCell ref="B59:C59"/>
    <mergeCell ref="B60:C60"/>
    <mergeCell ref="B61:C61"/>
    <mergeCell ref="B62:C62"/>
    <mergeCell ref="B63:C63"/>
    <mergeCell ref="A66:C66"/>
    <mergeCell ref="A69:D69"/>
    <mergeCell ref="B71:C71"/>
    <mergeCell ref="B72:C72"/>
    <mergeCell ref="B73:C73"/>
    <mergeCell ref="B74:C74"/>
    <mergeCell ref="B64:C64"/>
    <mergeCell ref="B65:C65"/>
    <mergeCell ref="B21:C21"/>
    <mergeCell ref="B22:C22"/>
    <mergeCell ref="B23:C23"/>
    <mergeCell ref="B58:C58"/>
    <mergeCell ref="B25:C25"/>
    <mergeCell ref="A26:C26"/>
    <mergeCell ref="A29:D29"/>
    <mergeCell ref="A31:D31"/>
    <mergeCell ref="B33:C33"/>
    <mergeCell ref="A37:B37"/>
    <mergeCell ref="A40:D40"/>
    <mergeCell ref="A51:B51"/>
    <mergeCell ref="A54:D54"/>
    <mergeCell ref="B56:C56"/>
    <mergeCell ref="B57:C57"/>
    <mergeCell ref="B127:C127"/>
    <mergeCell ref="C10:D10"/>
    <mergeCell ref="A1:D1"/>
    <mergeCell ref="A3:D3"/>
    <mergeCell ref="A5:B5"/>
    <mergeCell ref="A6:B6"/>
    <mergeCell ref="A8:D8"/>
    <mergeCell ref="B24:C24"/>
    <mergeCell ref="C11:D11"/>
    <mergeCell ref="C12:D12"/>
    <mergeCell ref="C13:D13"/>
    <mergeCell ref="C14:D14"/>
    <mergeCell ref="A16:D16"/>
    <mergeCell ref="B18:C18"/>
    <mergeCell ref="B19:C19"/>
    <mergeCell ref="B20:C20"/>
  </mergeCells>
  <pageMargins left="0.511811024" right="0.511811024" top="0.78740157499999996" bottom="0.78740157499999996" header="0.31496062000000002" footer="0.31496062000000002"/>
  <pageSetup paperSize="9" scale="84" fitToHeight="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56"/>
  <sheetViews>
    <sheetView topLeftCell="A97" zoomScale="115" zoomScaleNormal="115" workbookViewId="0">
      <selection activeCell="F15" sqref="F15:G15"/>
    </sheetView>
  </sheetViews>
  <sheetFormatPr defaultRowHeight="12.75" x14ac:dyDescent="0.2"/>
  <cols>
    <col min="1" max="1" width="9.140625" style="1"/>
    <col min="2" max="2" width="60.28515625" style="1" customWidth="1"/>
    <col min="3" max="3" width="18" style="1" customWidth="1"/>
    <col min="4" max="4" width="21.42578125" style="1" customWidth="1"/>
    <col min="5" max="5" width="15.140625" style="1" customWidth="1"/>
    <col min="6" max="16384" width="9.140625" style="1"/>
  </cols>
  <sheetData>
    <row r="1" spans="1:4" ht="15.75" x14ac:dyDescent="0.25">
      <c r="A1" s="111" t="s">
        <v>0</v>
      </c>
      <c r="B1" s="111"/>
      <c r="C1" s="111"/>
      <c r="D1" s="111"/>
    </row>
    <row r="2" spans="1:4" ht="15.75" x14ac:dyDescent="0.25">
      <c r="A2" s="24"/>
      <c r="B2" s="24"/>
      <c r="C2" s="24"/>
      <c r="D2" s="24"/>
    </row>
    <row r="3" spans="1:4" x14ac:dyDescent="0.2">
      <c r="A3" s="106" t="s">
        <v>89</v>
      </c>
      <c r="B3" s="106"/>
      <c r="C3" s="106"/>
      <c r="D3" s="106"/>
    </row>
    <row r="4" spans="1:4" x14ac:dyDescent="0.2">
      <c r="A4" s="2"/>
      <c r="B4" s="2"/>
      <c r="C4" s="2"/>
      <c r="D4" s="2"/>
    </row>
    <row r="5" spans="1:4" ht="38.25" x14ac:dyDescent="0.2">
      <c r="A5" s="113" t="s">
        <v>90</v>
      </c>
      <c r="B5" s="113"/>
      <c r="C5" s="34" t="s">
        <v>91</v>
      </c>
      <c r="D5" s="25" t="s">
        <v>92</v>
      </c>
    </row>
    <row r="6" spans="1:4" ht="25.5" customHeight="1" x14ac:dyDescent="0.2">
      <c r="A6" s="101" t="s">
        <v>122</v>
      </c>
      <c r="B6" s="102"/>
      <c r="C6" s="35" t="s">
        <v>100</v>
      </c>
      <c r="D6" s="32" t="s">
        <v>120</v>
      </c>
    </row>
    <row r="8" spans="1:4" x14ac:dyDescent="0.2">
      <c r="A8" s="106" t="s">
        <v>73</v>
      </c>
      <c r="B8" s="106"/>
      <c r="C8" s="106"/>
      <c r="D8" s="106"/>
    </row>
    <row r="9" spans="1:4" x14ac:dyDescent="0.2">
      <c r="A9" s="2"/>
      <c r="B9" s="2"/>
      <c r="C9" s="2"/>
      <c r="D9" s="2"/>
    </row>
    <row r="10" spans="1:4" x14ac:dyDescent="0.2">
      <c r="A10" s="5">
        <v>1</v>
      </c>
      <c r="B10" s="5" t="s">
        <v>74</v>
      </c>
      <c r="C10" s="103" t="s">
        <v>113</v>
      </c>
      <c r="D10" s="104"/>
    </row>
    <row r="11" spans="1:4" x14ac:dyDescent="0.2">
      <c r="A11" s="5">
        <v>2</v>
      </c>
      <c r="B11" s="5" t="s">
        <v>93</v>
      </c>
      <c r="C11" s="103">
        <v>517330</v>
      </c>
      <c r="D11" s="104"/>
    </row>
    <row r="12" spans="1:4" x14ac:dyDescent="0.2">
      <c r="A12" s="5">
        <v>3</v>
      </c>
      <c r="B12" s="5" t="s">
        <v>75</v>
      </c>
      <c r="C12" s="103">
        <v>1471.22</v>
      </c>
      <c r="D12" s="104"/>
    </row>
    <row r="13" spans="1:4" x14ac:dyDescent="0.2">
      <c r="A13" s="5">
        <v>4</v>
      </c>
      <c r="B13" s="5" t="s">
        <v>76</v>
      </c>
      <c r="C13" s="103" t="s">
        <v>102</v>
      </c>
      <c r="D13" s="104"/>
    </row>
    <row r="14" spans="1:4" x14ac:dyDescent="0.2">
      <c r="A14" s="5">
        <v>5</v>
      </c>
      <c r="B14" s="5" t="s">
        <v>77</v>
      </c>
      <c r="C14" s="105">
        <v>45292</v>
      </c>
      <c r="D14" s="104"/>
    </row>
    <row r="16" spans="1:4" x14ac:dyDescent="0.2">
      <c r="A16" s="106" t="s">
        <v>1</v>
      </c>
      <c r="B16" s="106"/>
      <c r="C16" s="106"/>
      <c r="D16" s="106"/>
    </row>
    <row r="18" spans="1:4" x14ac:dyDescent="0.2">
      <c r="A18" s="32">
        <v>1</v>
      </c>
      <c r="B18" s="98" t="s">
        <v>2</v>
      </c>
      <c r="C18" s="98"/>
      <c r="D18" s="32" t="s">
        <v>3</v>
      </c>
    </row>
    <row r="19" spans="1:4" x14ac:dyDescent="0.2">
      <c r="A19" s="34" t="s">
        <v>4</v>
      </c>
      <c r="B19" s="100" t="s">
        <v>5</v>
      </c>
      <c r="C19" s="100"/>
      <c r="D19" s="13">
        <v>1471.22</v>
      </c>
    </row>
    <row r="20" spans="1:4" x14ac:dyDescent="0.2">
      <c r="A20" s="34" t="s">
        <v>6</v>
      </c>
      <c r="B20" s="100" t="s">
        <v>7</v>
      </c>
      <c r="C20" s="100"/>
      <c r="D20" s="13">
        <f>D19*0.3</f>
        <v>441.36599999999999</v>
      </c>
    </row>
    <row r="21" spans="1:4" x14ac:dyDescent="0.2">
      <c r="A21" s="34" t="s">
        <v>8</v>
      </c>
      <c r="B21" s="100" t="s">
        <v>9</v>
      </c>
      <c r="C21" s="100"/>
      <c r="D21" s="13"/>
    </row>
    <row r="22" spans="1:4" x14ac:dyDescent="0.2">
      <c r="A22" s="34" t="s">
        <v>10</v>
      </c>
      <c r="B22" s="100" t="s">
        <v>11</v>
      </c>
      <c r="C22" s="100"/>
      <c r="D22" s="13"/>
    </row>
    <row r="23" spans="1:4" x14ac:dyDescent="0.2">
      <c r="A23" s="34" t="s">
        <v>12</v>
      </c>
      <c r="B23" s="100" t="s">
        <v>13</v>
      </c>
      <c r="C23" s="100"/>
      <c r="D23" s="13"/>
    </row>
    <row r="24" spans="1:4" x14ac:dyDescent="0.2">
      <c r="A24" s="34" t="s">
        <v>31</v>
      </c>
      <c r="B24" s="100" t="s">
        <v>114</v>
      </c>
      <c r="C24" s="100"/>
      <c r="D24" s="13">
        <v>0</v>
      </c>
    </row>
    <row r="25" spans="1:4" x14ac:dyDescent="0.2">
      <c r="A25" s="34" t="s">
        <v>14</v>
      </c>
      <c r="B25" s="100" t="s">
        <v>15</v>
      </c>
      <c r="C25" s="100"/>
      <c r="D25" s="13"/>
    </row>
    <row r="26" spans="1:4" x14ac:dyDescent="0.2">
      <c r="A26" s="98" t="s">
        <v>16</v>
      </c>
      <c r="B26" s="98"/>
      <c r="C26" s="98"/>
      <c r="D26" s="18">
        <f>SUM(D19:D25)</f>
        <v>1912.586</v>
      </c>
    </row>
    <row r="29" spans="1:4" x14ac:dyDescent="0.2">
      <c r="A29" s="99" t="s">
        <v>17</v>
      </c>
      <c r="B29" s="99"/>
      <c r="C29" s="99"/>
      <c r="D29" s="99"/>
    </row>
    <row r="30" spans="1:4" x14ac:dyDescent="0.2">
      <c r="A30" s="3"/>
    </row>
    <row r="31" spans="1:4" x14ac:dyDescent="0.2">
      <c r="A31" s="96" t="s">
        <v>18</v>
      </c>
      <c r="B31" s="96"/>
      <c r="C31" s="96"/>
      <c r="D31" s="96"/>
    </row>
    <row r="33" spans="1:4" x14ac:dyDescent="0.2">
      <c r="A33" s="32" t="s">
        <v>19</v>
      </c>
      <c r="B33" s="98" t="s">
        <v>20</v>
      </c>
      <c r="C33" s="98"/>
      <c r="D33" s="32" t="s">
        <v>3</v>
      </c>
    </row>
    <row r="34" spans="1:4" x14ac:dyDescent="0.2">
      <c r="A34" s="34" t="s">
        <v>4</v>
      </c>
      <c r="B34" s="31" t="s">
        <v>21</v>
      </c>
      <c r="C34" s="12">
        <f>TRUNC(1/12,4)</f>
        <v>8.3299999999999999E-2</v>
      </c>
      <c r="D34" s="13">
        <f>TRUNC($D$26*C34,2)</f>
        <v>159.31</v>
      </c>
    </row>
    <row r="35" spans="1:4" x14ac:dyDescent="0.2">
      <c r="A35" s="34" t="s">
        <v>6</v>
      </c>
      <c r="B35" s="31" t="s">
        <v>117</v>
      </c>
      <c r="C35" s="12">
        <f>TRUNC(((1)/12),4)</f>
        <v>8.3299999999999999E-2</v>
      </c>
      <c r="D35" s="13">
        <f>TRUNC($D$26*C35,2)</f>
        <v>159.31</v>
      </c>
    </row>
    <row r="36" spans="1:4" x14ac:dyDescent="0.2">
      <c r="A36" s="34" t="s">
        <v>8</v>
      </c>
      <c r="B36" s="31" t="s">
        <v>118</v>
      </c>
      <c r="C36" s="36">
        <f>TRUNC(((51%)/12),4)</f>
        <v>4.2500000000000003E-2</v>
      </c>
      <c r="D36" s="13">
        <f>TRUNC($D$19*C36,2)</f>
        <v>62.52</v>
      </c>
    </row>
    <row r="37" spans="1:4" x14ac:dyDescent="0.2">
      <c r="A37" s="98" t="s">
        <v>16</v>
      </c>
      <c r="B37" s="98"/>
      <c r="C37" s="26">
        <f>SUM(C34:C36)</f>
        <v>0.20910000000000001</v>
      </c>
      <c r="D37" s="17">
        <f>SUM(D34:D36)</f>
        <v>381.14</v>
      </c>
    </row>
    <row r="40" spans="1:4" x14ac:dyDescent="0.2">
      <c r="A40" s="112" t="s">
        <v>22</v>
      </c>
      <c r="B40" s="112"/>
      <c r="C40" s="112"/>
      <c r="D40" s="112"/>
    </row>
    <row r="42" spans="1:4" x14ac:dyDescent="0.2">
      <c r="A42" s="32" t="s">
        <v>23</v>
      </c>
      <c r="B42" s="32" t="s">
        <v>24</v>
      </c>
      <c r="C42" s="32" t="s">
        <v>25</v>
      </c>
      <c r="D42" s="32" t="s">
        <v>3</v>
      </c>
    </row>
    <row r="43" spans="1:4" x14ac:dyDescent="0.2">
      <c r="A43" s="34" t="s">
        <v>4</v>
      </c>
      <c r="B43" s="31" t="s">
        <v>26</v>
      </c>
      <c r="C43" s="9">
        <v>0.2</v>
      </c>
      <c r="D43" s="13">
        <f>TRUNC(($D$26+$D$37)*C43,2)</f>
        <v>458.74</v>
      </c>
    </row>
    <row r="44" spans="1:4" x14ac:dyDescent="0.2">
      <c r="A44" s="34" t="s">
        <v>6</v>
      </c>
      <c r="B44" s="31" t="s">
        <v>27</v>
      </c>
      <c r="C44" s="9">
        <v>2.5000000000000001E-2</v>
      </c>
      <c r="D44" s="13">
        <f t="shared" ref="D44:D50" si="0">TRUNC(($D$26+$D$37)*C44,2)</f>
        <v>57.34</v>
      </c>
    </row>
    <row r="45" spans="1:4" x14ac:dyDescent="0.2">
      <c r="A45" s="34" t="s">
        <v>8</v>
      </c>
      <c r="B45" s="31" t="s">
        <v>28</v>
      </c>
      <c r="C45" s="16">
        <v>0.03</v>
      </c>
      <c r="D45" s="13">
        <f t="shared" si="0"/>
        <v>68.81</v>
      </c>
    </row>
    <row r="46" spans="1:4" x14ac:dyDescent="0.2">
      <c r="A46" s="34" t="s">
        <v>10</v>
      </c>
      <c r="B46" s="31" t="s">
        <v>29</v>
      </c>
      <c r="C46" s="9">
        <v>1.4999999999999999E-2</v>
      </c>
      <c r="D46" s="13">
        <f t="shared" si="0"/>
        <v>34.4</v>
      </c>
    </row>
    <row r="47" spans="1:4" x14ac:dyDescent="0.2">
      <c r="A47" s="34" t="s">
        <v>12</v>
      </c>
      <c r="B47" s="31" t="s">
        <v>30</v>
      </c>
      <c r="C47" s="9">
        <v>0.01</v>
      </c>
      <c r="D47" s="13">
        <f t="shared" si="0"/>
        <v>22.93</v>
      </c>
    </row>
    <row r="48" spans="1:4" x14ac:dyDescent="0.2">
      <c r="A48" s="34" t="s">
        <v>31</v>
      </c>
      <c r="B48" s="31" t="s">
        <v>32</v>
      </c>
      <c r="C48" s="9">
        <v>6.0000000000000001E-3</v>
      </c>
      <c r="D48" s="13">
        <f t="shared" si="0"/>
        <v>13.76</v>
      </c>
    </row>
    <row r="49" spans="1:4" x14ac:dyDescent="0.2">
      <c r="A49" s="34" t="s">
        <v>14</v>
      </c>
      <c r="B49" s="31" t="s">
        <v>33</v>
      </c>
      <c r="C49" s="9">
        <v>2E-3</v>
      </c>
      <c r="D49" s="13">
        <f t="shared" si="0"/>
        <v>4.58</v>
      </c>
    </row>
    <row r="50" spans="1:4" x14ac:dyDescent="0.2">
      <c r="A50" s="34" t="s">
        <v>34</v>
      </c>
      <c r="B50" s="31" t="s">
        <v>35</v>
      </c>
      <c r="C50" s="9">
        <v>0.08</v>
      </c>
      <c r="D50" s="13">
        <f t="shared" si="0"/>
        <v>183.49</v>
      </c>
    </row>
    <row r="51" spans="1:4" x14ac:dyDescent="0.2">
      <c r="A51" s="98" t="s">
        <v>36</v>
      </c>
      <c r="B51" s="98"/>
      <c r="C51" s="15">
        <f>SUM(C43:C50)</f>
        <v>0.36800000000000005</v>
      </c>
      <c r="D51" s="17">
        <f>SUM(D43:D50)</f>
        <v>844.05000000000007</v>
      </c>
    </row>
    <row r="54" spans="1:4" x14ac:dyDescent="0.2">
      <c r="A54" s="96" t="s">
        <v>37</v>
      </c>
      <c r="B54" s="96"/>
      <c r="C54" s="96"/>
      <c r="D54" s="96"/>
    </row>
    <row r="56" spans="1:4" x14ac:dyDescent="0.2">
      <c r="A56" s="32" t="s">
        <v>38</v>
      </c>
      <c r="B56" s="97" t="s">
        <v>39</v>
      </c>
      <c r="C56" s="97"/>
      <c r="D56" s="32" t="s">
        <v>3</v>
      </c>
    </row>
    <row r="57" spans="1:4" x14ac:dyDescent="0.2">
      <c r="A57" s="34" t="s">
        <v>4</v>
      </c>
      <c r="B57" s="100" t="s">
        <v>40</v>
      </c>
      <c r="C57" s="100"/>
      <c r="D57" s="13">
        <f>(15*2*3.92)-(D19*0.06)</f>
        <v>29.326799999999992</v>
      </c>
    </row>
    <row r="58" spans="1:4" x14ac:dyDescent="0.2">
      <c r="A58" s="34" t="s">
        <v>6</v>
      </c>
      <c r="B58" s="100" t="s">
        <v>41</v>
      </c>
      <c r="C58" s="100"/>
      <c r="D58" s="13">
        <f>16.59*15*0.85</f>
        <v>211.52249999999998</v>
      </c>
    </row>
    <row r="59" spans="1:4" x14ac:dyDescent="0.2">
      <c r="A59" s="34" t="s">
        <v>8</v>
      </c>
      <c r="B59" s="100" t="s">
        <v>110</v>
      </c>
      <c r="C59" s="100"/>
      <c r="D59" s="13"/>
    </row>
    <row r="60" spans="1:4" x14ac:dyDescent="0.2">
      <c r="A60" s="34" t="s">
        <v>10</v>
      </c>
      <c r="B60" s="100" t="s">
        <v>104</v>
      </c>
      <c r="C60" s="100"/>
      <c r="D60" s="13">
        <v>8.5</v>
      </c>
    </row>
    <row r="61" spans="1:4" x14ac:dyDescent="0.2">
      <c r="A61" s="34" t="s">
        <v>12</v>
      </c>
      <c r="B61" s="100" t="s">
        <v>105</v>
      </c>
      <c r="C61" s="100"/>
      <c r="D61" s="13">
        <v>3.5</v>
      </c>
    </row>
    <row r="62" spans="1:4" x14ac:dyDescent="0.2">
      <c r="A62" s="34" t="s">
        <v>31</v>
      </c>
      <c r="B62" s="100" t="s">
        <v>111</v>
      </c>
      <c r="C62" s="100"/>
      <c r="D62" s="13"/>
    </row>
    <row r="63" spans="1:4" x14ac:dyDescent="0.2">
      <c r="A63" s="41" t="s">
        <v>14</v>
      </c>
      <c r="B63" s="100" t="s">
        <v>179</v>
      </c>
      <c r="C63" s="100"/>
      <c r="D63" s="13"/>
    </row>
    <row r="64" spans="1:4" x14ac:dyDescent="0.2">
      <c r="A64" s="93" t="s">
        <v>34</v>
      </c>
      <c r="B64" s="100" t="s">
        <v>207</v>
      </c>
      <c r="C64" s="100"/>
      <c r="D64" s="13">
        <f>D19*0.22*(21/24)</f>
        <v>283.20985000000002</v>
      </c>
    </row>
    <row r="65" spans="1:4" x14ac:dyDescent="0.2">
      <c r="A65" s="93" t="s">
        <v>206</v>
      </c>
      <c r="B65" s="100" t="s">
        <v>209</v>
      </c>
      <c r="C65" s="100"/>
      <c r="D65" s="13">
        <f>233.73*(2/3)</f>
        <v>155.82</v>
      </c>
    </row>
    <row r="66" spans="1:4" x14ac:dyDescent="0.2">
      <c r="A66" s="98" t="s">
        <v>16</v>
      </c>
      <c r="B66" s="98"/>
      <c r="C66" s="98"/>
      <c r="D66" s="17">
        <f>SUM(D57:D65)</f>
        <v>691.87914999999998</v>
      </c>
    </row>
    <row r="69" spans="1:4" x14ac:dyDescent="0.2">
      <c r="A69" s="96" t="s">
        <v>42</v>
      </c>
      <c r="B69" s="96"/>
      <c r="C69" s="96"/>
      <c r="D69" s="96"/>
    </row>
    <row r="71" spans="1:4" x14ac:dyDescent="0.2">
      <c r="A71" s="32">
        <v>2</v>
      </c>
      <c r="B71" s="97" t="s">
        <v>43</v>
      </c>
      <c r="C71" s="97"/>
      <c r="D71" s="32" t="s">
        <v>3</v>
      </c>
    </row>
    <row r="72" spans="1:4" x14ac:dyDescent="0.2">
      <c r="A72" s="34" t="s">
        <v>19</v>
      </c>
      <c r="B72" s="100" t="s">
        <v>20</v>
      </c>
      <c r="C72" s="100"/>
      <c r="D72" s="14">
        <f>D37</f>
        <v>381.14</v>
      </c>
    </row>
    <row r="73" spans="1:4" x14ac:dyDescent="0.2">
      <c r="A73" s="34" t="s">
        <v>23</v>
      </c>
      <c r="B73" s="100" t="s">
        <v>24</v>
      </c>
      <c r="C73" s="100"/>
      <c r="D73" s="14">
        <f>D51</f>
        <v>844.05000000000007</v>
      </c>
    </row>
    <row r="74" spans="1:4" x14ac:dyDescent="0.2">
      <c r="A74" s="34" t="s">
        <v>38</v>
      </c>
      <c r="B74" s="100" t="s">
        <v>39</v>
      </c>
      <c r="C74" s="100"/>
      <c r="D74" s="14">
        <f>D66</f>
        <v>691.87914999999998</v>
      </c>
    </row>
    <row r="75" spans="1:4" x14ac:dyDescent="0.2">
      <c r="A75" s="98" t="s">
        <v>16</v>
      </c>
      <c r="B75" s="98"/>
      <c r="C75" s="98"/>
      <c r="D75" s="17">
        <f>SUM(D72:D74)</f>
        <v>1917.06915</v>
      </c>
    </row>
    <row r="76" spans="1:4" x14ac:dyDescent="0.2">
      <c r="A76" s="4"/>
    </row>
    <row r="78" spans="1:4" x14ac:dyDescent="0.2">
      <c r="A78" s="99" t="s">
        <v>44</v>
      </c>
      <c r="B78" s="99"/>
      <c r="C78" s="99"/>
      <c r="D78" s="99"/>
    </row>
    <row r="79" spans="1:4" ht="12.75" customHeight="1" x14ac:dyDescent="0.2"/>
    <row r="80" spans="1:4" x14ac:dyDescent="0.2">
      <c r="A80" s="38">
        <v>3</v>
      </c>
      <c r="B80" s="97" t="s">
        <v>45</v>
      </c>
      <c r="C80" s="97"/>
      <c r="D80" s="38" t="s">
        <v>3</v>
      </c>
    </row>
    <row r="81" spans="1:4" x14ac:dyDescent="0.2">
      <c r="A81" s="39" t="s">
        <v>4</v>
      </c>
      <c r="B81" s="10" t="s">
        <v>46</v>
      </c>
      <c r="C81" s="9">
        <f>TRUNC(((1/12)*5%),4)</f>
        <v>4.1000000000000003E-3</v>
      </c>
      <c r="D81" s="13">
        <f>TRUNC($D$26*C81,2)</f>
        <v>7.84</v>
      </c>
    </row>
    <row r="82" spans="1:4" x14ac:dyDescent="0.2">
      <c r="A82" s="39" t="s">
        <v>6</v>
      </c>
      <c r="B82" s="10" t="s">
        <v>47</v>
      </c>
      <c r="C82" s="9">
        <v>0.08</v>
      </c>
      <c r="D82" s="13">
        <f>TRUNC(D81*C82,2)</f>
        <v>0.62</v>
      </c>
    </row>
    <row r="83" spans="1:4" x14ac:dyDescent="0.2">
      <c r="A83" s="39" t="s">
        <v>8</v>
      </c>
      <c r="B83" s="10" t="s">
        <v>48</v>
      </c>
      <c r="C83" s="9">
        <f>TRUNC(8%*5%*40%,4)</f>
        <v>1.6000000000000001E-3</v>
      </c>
      <c r="D83" s="13">
        <f>TRUNC($D$26*C83,2)</f>
        <v>3.06</v>
      </c>
    </row>
    <row r="84" spans="1:4" x14ac:dyDescent="0.2">
      <c r="A84" s="39" t="s">
        <v>10</v>
      </c>
      <c r="B84" s="10" t="s">
        <v>49</v>
      </c>
      <c r="C84" s="9">
        <f>TRUNC(((7/30)/12)*95%,4)</f>
        <v>1.84E-2</v>
      </c>
      <c r="D84" s="13">
        <f>TRUNC($D$26*C84,2)</f>
        <v>35.19</v>
      </c>
    </row>
    <row r="85" spans="1:4" ht="25.5" x14ac:dyDescent="0.2">
      <c r="A85" s="39" t="s">
        <v>12</v>
      </c>
      <c r="B85" s="10" t="s">
        <v>94</v>
      </c>
      <c r="C85" s="9">
        <f>C51</f>
        <v>0.36800000000000005</v>
      </c>
      <c r="D85" s="13">
        <f>TRUNC(D84*C85,2)</f>
        <v>12.94</v>
      </c>
    </row>
    <row r="86" spans="1:4" x14ac:dyDescent="0.2">
      <c r="A86" s="39" t="s">
        <v>31</v>
      </c>
      <c r="B86" s="10" t="s">
        <v>50</v>
      </c>
      <c r="C86" s="9">
        <f>TRUNC(8%*95%*40%,4)</f>
        <v>3.04E-2</v>
      </c>
      <c r="D86" s="13">
        <f t="shared" ref="D86" si="1">TRUNC($D$26*C86,2)</f>
        <v>58.14</v>
      </c>
    </row>
    <row r="87" spans="1:4" x14ac:dyDescent="0.2">
      <c r="A87" s="101" t="s">
        <v>16</v>
      </c>
      <c r="B87" s="110"/>
      <c r="C87" s="102"/>
      <c r="D87" s="17">
        <f>SUM(D81:D86)</f>
        <v>117.78999999999999</v>
      </c>
    </row>
    <row r="90" spans="1:4" x14ac:dyDescent="0.2">
      <c r="A90" s="99" t="s">
        <v>51</v>
      </c>
      <c r="B90" s="99"/>
      <c r="C90" s="99"/>
      <c r="D90" s="99"/>
    </row>
    <row r="93" spans="1:4" x14ac:dyDescent="0.2">
      <c r="A93" s="96" t="s">
        <v>78</v>
      </c>
      <c r="B93" s="96"/>
      <c r="C93" s="96"/>
      <c r="D93" s="96"/>
    </row>
    <row r="94" spans="1:4" x14ac:dyDescent="0.2">
      <c r="A94" s="3"/>
    </row>
    <row r="95" spans="1:4" x14ac:dyDescent="0.2">
      <c r="A95" s="38" t="s">
        <v>52</v>
      </c>
      <c r="B95" s="97" t="s">
        <v>79</v>
      </c>
      <c r="C95" s="97"/>
      <c r="D95" s="38" t="s">
        <v>3</v>
      </c>
    </row>
    <row r="96" spans="1:4" x14ac:dyDescent="0.2">
      <c r="A96" s="39" t="s">
        <v>4</v>
      </c>
      <c r="B96" s="37" t="s">
        <v>80</v>
      </c>
      <c r="C96" s="9">
        <f>TRUNC(((1+1/3)/12)/12,4)*0</f>
        <v>0</v>
      </c>
      <c r="D96" s="13">
        <f t="shared" ref="D96:D101" si="2">TRUNC(($D$26+$D$75+$D$87)*C96,2)</f>
        <v>0</v>
      </c>
    </row>
    <row r="97" spans="1:4" x14ac:dyDescent="0.2">
      <c r="A97" s="39" t="s">
        <v>6</v>
      </c>
      <c r="B97" s="37" t="s">
        <v>81</v>
      </c>
      <c r="C97" s="9">
        <f>TRUNC(((2/30)/12),4)</f>
        <v>5.4999999999999997E-3</v>
      </c>
      <c r="D97" s="13">
        <f t="shared" si="2"/>
        <v>21.71</v>
      </c>
    </row>
    <row r="98" spans="1:4" x14ac:dyDescent="0.2">
      <c r="A98" s="39" t="s">
        <v>8</v>
      </c>
      <c r="B98" s="37" t="s">
        <v>82</v>
      </c>
      <c r="C98" s="9">
        <f>TRUNC(((5/30)/12)*2%,4)*0</f>
        <v>0</v>
      </c>
      <c r="D98" s="13">
        <f t="shared" si="2"/>
        <v>0</v>
      </c>
    </row>
    <row r="99" spans="1:4" x14ac:dyDescent="0.2">
      <c r="A99" s="39" t="s">
        <v>10</v>
      </c>
      <c r="B99" s="37" t="s">
        <v>83</v>
      </c>
      <c r="C99" s="9">
        <f>TRUNC(((15/30)/12)*8%,4)*0</f>
        <v>0</v>
      </c>
      <c r="D99" s="13">
        <f t="shared" si="2"/>
        <v>0</v>
      </c>
    </row>
    <row r="100" spans="1:4" x14ac:dyDescent="0.2">
      <c r="A100" s="39" t="s">
        <v>12</v>
      </c>
      <c r="B100" s="37" t="s">
        <v>84</v>
      </c>
      <c r="C100" s="9">
        <f>((1+1/3)/12)*3%*(4/12)*0</f>
        <v>0</v>
      </c>
      <c r="D100" s="13">
        <f t="shared" si="2"/>
        <v>0</v>
      </c>
    </row>
    <row r="101" spans="1:4" x14ac:dyDescent="0.2">
      <c r="A101" s="39" t="s">
        <v>31</v>
      </c>
      <c r="B101" s="37" t="s">
        <v>85</v>
      </c>
      <c r="C101" s="9"/>
      <c r="D101" s="13">
        <f t="shared" si="2"/>
        <v>0</v>
      </c>
    </row>
    <row r="102" spans="1:4" x14ac:dyDescent="0.2">
      <c r="A102" s="98" t="s">
        <v>36</v>
      </c>
      <c r="B102" s="98"/>
      <c r="C102" s="98"/>
      <c r="D102" s="17">
        <f>SUM(D96:D101)</f>
        <v>21.71</v>
      </c>
    </row>
    <row r="105" spans="1:4" x14ac:dyDescent="0.2">
      <c r="A105" s="96" t="s">
        <v>86</v>
      </c>
      <c r="B105" s="96"/>
      <c r="C105" s="96"/>
      <c r="D105" s="96"/>
    </row>
    <row r="106" spans="1:4" x14ac:dyDescent="0.2">
      <c r="A106" s="3"/>
    </row>
    <row r="107" spans="1:4" x14ac:dyDescent="0.2">
      <c r="A107" s="32" t="s">
        <v>53</v>
      </c>
      <c r="B107" s="97" t="s">
        <v>87</v>
      </c>
      <c r="C107" s="97"/>
      <c r="D107" s="32" t="s">
        <v>3</v>
      </c>
    </row>
    <row r="108" spans="1:4" x14ac:dyDescent="0.2">
      <c r="A108" s="34" t="s">
        <v>4</v>
      </c>
      <c r="B108" s="107" t="s">
        <v>88</v>
      </c>
      <c r="C108" s="108"/>
      <c r="D108" s="13">
        <f>((D26+D75+D87)/220)*22*0</f>
        <v>0</v>
      </c>
    </row>
    <row r="109" spans="1:4" x14ac:dyDescent="0.2">
      <c r="A109" s="98" t="s">
        <v>16</v>
      </c>
      <c r="B109" s="98"/>
      <c r="C109" s="98"/>
      <c r="D109" s="17">
        <f>SUM(D108)</f>
        <v>0</v>
      </c>
    </row>
    <row r="112" spans="1:4" x14ac:dyDescent="0.2">
      <c r="A112" s="96" t="s">
        <v>54</v>
      </c>
      <c r="B112" s="96"/>
      <c r="C112" s="96"/>
      <c r="D112" s="96"/>
    </row>
    <row r="113" spans="1:4" x14ac:dyDescent="0.2">
      <c r="A113" s="3"/>
    </row>
    <row r="114" spans="1:4" x14ac:dyDescent="0.2">
      <c r="A114" s="32">
        <v>4</v>
      </c>
      <c r="B114" s="98" t="s">
        <v>55</v>
      </c>
      <c r="C114" s="98"/>
      <c r="D114" s="32" t="s">
        <v>3</v>
      </c>
    </row>
    <row r="115" spans="1:4" x14ac:dyDescent="0.2">
      <c r="A115" s="34" t="s">
        <v>52</v>
      </c>
      <c r="B115" s="100" t="s">
        <v>79</v>
      </c>
      <c r="C115" s="100"/>
      <c r="D115" s="14">
        <f>D102</f>
        <v>21.71</v>
      </c>
    </row>
    <row r="116" spans="1:4" x14ac:dyDescent="0.2">
      <c r="A116" s="34" t="s">
        <v>53</v>
      </c>
      <c r="B116" s="100" t="s">
        <v>87</v>
      </c>
      <c r="C116" s="100"/>
      <c r="D116" s="14">
        <f>D109</f>
        <v>0</v>
      </c>
    </row>
    <row r="117" spans="1:4" x14ac:dyDescent="0.2">
      <c r="A117" s="98" t="s">
        <v>16</v>
      </c>
      <c r="B117" s="98"/>
      <c r="C117" s="98"/>
      <c r="D117" s="17">
        <f>SUM(D115:D116)</f>
        <v>21.71</v>
      </c>
    </row>
    <row r="120" spans="1:4" x14ac:dyDescent="0.2">
      <c r="A120" s="99" t="s">
        <v>56</v>
      </c>
      <c r="B120" s="99"/>
      <c r="C120" s="99"/>
      <c r="D120" s="99"/>
    </row>
    <row r="122" spans="1:4" x14ac:dyDescent="0.2">
      <c r="A122" s="32">
        <v>5</v>
      </c>
      <c r="B122" s="109" t="s">
        <v>57</v>
      </c>
      <c r="C122" s="109"/>
      <c r="D122" s="32" t="s">
        <v>3</v>
      </c>
    </row>
    <row r="123" spans="1:4" x14ac:dyDescent="0.2">
      <c r="A123" s="34" t="s">
        <v>4</v>
      </c>
      <c r="B123" s="100" t="s">
        <v>58</v>
      </c>
      <c r="C123" s="100"/>
      <c r="D123" s="13">
        <v>151.96</v>
      </c>
    </row>
    <row r="124" spans="1:4" x14ac:dyDescent="0.2">
      <c r="A124" s="34" t="s">
        <v>6</v>
      </c>
      <c r="B124" s="100" t="s">
        <v>59</v>
      </c>
      <c r="C124" s="100"/>
      <c r="D124" s="13">
        <v>2.2599999999999998</v>
      </c>
    </row>
    <row r="125" spans="1:4" x14ac:dyDescent="0.2">
      <c r="A125" s="34" t="s">
        <v>8</v>
      </c>
      <c r="B125" s="100" t="s">
        <v>60</v>
      </c>
      <c r="C125" s="100"/>
      <c r="D125" s="13">
        <v>21.12</v>
      </c>
    </row>
    <row r="126" spans="1:4" x14ac:dyDescent="0.2">
      <c r="A126" s="34" t="s">
        <v>10</v>
      </c>
      <c r="B126" s="100" t="s">
        <v>180</v>
      </c>
      <c r="C126" s="100"/>
      <c r="D126" s="13">
        <v>93.59</v>
      </c>
    </row>
    <row r="127" spans="1:4" x14ac:dyDescent="0.2">
      <c r="A127" s="93" t="s">
        <v>12</v>
      </c>
      <c r="B127" s="100" t="s">
        <v>208</v>
      </c>
      <c r="C127" s="100"/>
      <c r="D127" s="13">
        <v>84</v>
      </c>
    </row>
    <row r="128" spans="1:4" x14ac:dyDescent="0.2">
      <c r="A128" s="98" t="s">
        <v>36</v>
      </c>
      <c r="B128" s="98"/>
      <c r="C128" s="98"/>
      <c r="D128" s="18">
        <f>SUM(D123:D127)</f>
        <v>352.93</v>
      </c>
    </row>
    <row r="131" spans="1:4" x14ac:dyDescent="0.2">
      <c r="A131" s="99" t="s">
        <v>61</v>
      </c>
      <c r="B131" s="99"/>
      <c r="C131" s="99"/>
      <c r="D131" s="99"/>
    </row>
    <row r="133" spans="1:4" x14ac:dyDescent="0.2">
      <c r="A133" s="32">
        <v>6</v>
      </c>
      <c r="B133" s="33" t="s">
        <v>62</v>
      </c>
      <c r="C133" s="32" t="s">
        <v>25</v>
      </c>
      <c r="D133" s="32" t="s">
        <v>3</v>
      </c>
    </row>
    <row r="134" spans="1:4" x14ac:dyDescent="0.2">
      <c r="A134" s="34" t="s">
        <v>4</v>
      </c>
      <c r="B134" s="31" t="s">
        <v>63</v>
      </c>
      <c r="C134" s="9">
        <v>0.06</v>
      </c>
      <c r="D134" s="14">
        <f>D154*C134</f>
        <v>259.325109</v>
      </c>
    </row>
    <row r="135" spans="1:4" x14ac:dyDescent="0.2">
      <c r="A135" s="34" t="s">
        <v>6</v>
      </c>
      <c r="B135" s="31" t="s">
        <v>64</v>
      </c>
      <c r="C135" s="9">
        <v>6.7900000000000002E-2</v>
      </c>
      <c r="D135" s="13">
        <f>(D154+D134)*C135</f>
        <v>311.07775658610001</v>
      </c>
    </row>
    <row r="136" spans="1:4" x14ac:dyDescent="0.2">
      <c r="A136" s="34" t="s">
        <v>8</v>
      </c>
      <c r="B136" s="31" t="s">
        <v>65</v>
      </c>
      <c r="C136" s="12">
        <f>SUM(C137:C142)</f>
        <v>8.6499999999999994E-2</v>
      </c>
      <c r="D136" s="13">
        <f>(D154+D134+D135)*C136/(1-C136)</f>
        <v>463.2733588923893</v>
      </c>
    </row>
    <row r="137" spans="1:4" x14ac:dyDescent="0.2">
      <c r="A137" s="34"/>
      <c r="B137" s="31" t="s">
        <v>66</v>
      </c>
      <c r="C137" s="9"/>
      <c r="D137" s="14">
        <f>$D$156*C137</f>
        <v>0</v>
      </c>
    </row>
    <row r="138" spans="1:4" x14ac:dyDescent="0.2">
      <c r="A138" s="34"/>
      <c r="B138" s="31" t="s">
        <v>96</v>
      </c>
      <c r="C138" s="9">
        <v>6.4999999999999997E-3</v>
      </c>
      <c r="D138" s="14">
        <f t="shared" ref="D138:D142" si="3">$D$156*C138</f>
        <v>34.812448934110179</v>
      </c>
    </row>
    <row r="139" spans="1:4" x14ac:dyDescent="0.2">
      <c r="A139" s="34"/>
      <c r="B139" s="31" t="s">
        <v>97</v>
      </c>
      <c r="C139" s="9">
        <v>0.03</v>
      </c>
      <c r="D139" s="14">
        <f t="shared" si="3"/>
        <v>160.67284123435468</v>
      </c>
    </row>
    <row r="140" spans="1:4" x14ac:dyDescent="0.2">
      <c r="A140" s="34"/>
      <c r="B140" s="31" t="s">
        <v>67</v>
      </c>
      <c r="C140" s="34"/>
      <c r="D140" s="14">
        <f t="shared" si="3"/>
        <v>0</v>
      </c>
    </row>
    <row r="141" spans="1:4" x14ac:dyDescent="0.2">
      <c r="A141" s="34"/>
      <c r="B141" s="31" t="s">
        <v>68</v>
      </c>
      <c r="C141" s="9"/>
      <c r="D141" s="14">
        <f t="shared" si="3"/>
        <v>0</v>
      </c>
    </row>
    <row r="142" spans="1:4" x14ac:dyDescent="0.2">
      <c r="A142" s="34"/>
      <c r="B142" s="31" t="s">
        <v>98</v>
      </c>
      <c r="C142" s="9">
        <v>0.05</v>
      </c>
      <c r="D142" s="14">
        <f t="shared" si="3"/>
        <v>267.78806872392448</v>
      </c>
    </row>
    <row r="143" spans="1:4" ht="13.5" x14ac:dyDescent="0.2">
      <c r="A143" s="101" t="s">
        <v>36</v>
      </c>
      <c r="B143" s="110"/>
      <c r="C143" s="19">
        <f>(1+C135)*(1+C134)/(1-C136)-1</f>
        <v>0.2391614668856048</v>
      </c>
      <c r="D143" s="17">
        <f>SUM(D134:D136)</f>
        <v>1033.6762244784893</v>
      </c>
    </row>
    <row r="146" spans="1:4" x14ac:dyDescent="0.2">
      <c r="A146" s="99" t="s">
        <v>69</v>
      </c>
      <c r="B146" s="99"/>
      <c r="C146" s="99"/>
      <c r="D146" s="99"/>
    </row>
    <row r="148" spans="1:4" x14ac:dyDescent="0.2">
      <c r="A148" s="32"/>
      <c r="B148" s="98" t="s">
        <v>70</v>
      </c>
      <c r="C148" s="98"/>
      <c r="D148" s="32" t="s">
        <v>3</v>
      </c>
    </row>
    <row r="149" spans="1:4" x14ac:dyDescent="0.2">
      <c r="A149" s="32" t="s">
        <v>4</v>
      </c>
      <c r="B149" s="100" t="s">
        <v>1</v>
      </c>
      <c r="C149" s="100"/>
      <c r="D149" s="20">
        <f>D26</f>
        <v>1912.586</v>
      </c>
    </row>
    <row r="150" spans="1:4" x14ac:dyDescent="0.2">
      <c r="A150" s="32" t="s">
        <v>6</v>
      </c>
      <c r="B150" s="100" t="s">
        <v>17</v>
      </c>
      <c r="C150" s="100"/>
      <c r="D150" s="20">
        <f>D75</f>
        <v>1917.06915</v>
      </c>
    </row>
    <row r="151" spans="1:4" x14ac:dyDescent="0.2">
      <c r="A151" s="32" t="s">
        <v>8</v>
      </c>
      <c r="B151" s="100" t="s">
        <v>44</v>
      </c>
      <c r="C151" s="100"/>
      <c r="D151" s="20">
        <f>D87</f>
        <v>117.78999999999999</v>
      </c>
    </row>
    <row r="152" spans="1:4" x14ac:dyDescent="0.2">
      <c r="A152" s="32" t="s">
        <v>10</v>
      </c>
      <c r="B152" s="100" t="s">
        <v>51</v>
      </c>
      <c r="C152" s="100"/>
      <c r="D152" s="20">
        <f>D117</f>
        <v>21.71</v>
      </c>
    </row>
    <row r="153" spans="1:4" x14ac:dyDescent="0.2">
      <c r="A153" s="32" t="s">
        <v>12</v>
      </c>
      <c r="B153" s="100" t="s">
        <v>56</v>
      </c>
      <c r="C153" s="100"/>
      <c r="D153" s="20">
        <f>D128</f>
        <v>352.93</v>
      </c>
    </row>
    <row r="154" spans="1:4" x14ac:dyDescent="0.2">
      <c r="A154" s="98" t="s">
        <v>95</v>
      </c>
      <c r="B154" s="98"/>
      <c r="C154" s="98"/>
      <c r="D154" s="21">
        <f>SUM(D149:D153)</f>
        <v>4322.0851499999999</v>
      </c>
    </row>
    <row r="155" spans="1:4" x14ac:dyDescent="0.2">
      <c r="A155" s="32" t="s">
        <v>31</v>
      </c>
      <c r="B155" s="100" t="s">
        <v>71</v>
      </c>
      <c r="C155" s="100"/>
      <c r="D155" s="22">
        <f>D143</f>
        <v>1033.6762244784893</v>
      </c>
    </row>
    <row r="156" spans="1:4" x14ac:dyDescent="0.2">
      <c r="A156" s="98" t="s">
        <v>72</v>
      </c>
      <c r="B156" s="98"/>
      <c r="C156" s="98"/>
      <c r="D156" s="21">
        <f>SUM(D154:D155)</f>
        <v>5355.7613744784894</v>
      </c>
    </row>
  </sheetData>
  <mergeCells count="80">
    <mergeCell ref="A154:C154"/>
    <mergeCell ref="B155:C155"/>
    <mergeCell ref="A156:C156"/>
    <mergeCell ref="B148:C148"/>
    <mergeCell ref="B149:C149"/>
    <mergeCell ref="B150:C150"/>
    <mergeCell ref="B151:C151"/>
    <mergeCell ref="B152:C152"/>
    <mergeCell ref="B153:C153"/>
    <mergeCell ref="A146:D146"/>
    <mergeCell ref="A109:C109"/>
    <mergeCell ref="A112:D112"/>
    <mergeCell ref="B114:C114"/>
    <mergeCell ref="B115:C115"/>
    <mergeCell ref="B116:C116"/>
    <mergeCell ref="A117:C117"/>
    <mergeCell ref="A120:D120"/>
    <mergeCell ref="B122:C122"/>
    <mergeCell ref="A128:C128"/>
    <mergeCell ref="A131:D131"/>
    <mergeCell ref="A143:B143"/>
    <mergeCell ref="B123:C123"/>
    <mergeCell ref="B124:C124"/>
    <mergeCell ref="B125:C125"/>
    <mergeCell ref="B126:C126"/>
    <mergeCell ref="B108:C108"/>
    <mergeCell ref="B74:C74"/>
    <mergeCell ref="A75:C75"/>
    <mergeCell ref="A78:D78"/>
    <mergeCell ref="B80:C80"/>
    <mergeCell ref="A87:C87"/>
    <mergeCell ref="A90:D90"/>
    <mergeCell ref="A93:D93"/>
    <mergeCell ref="B95:C95"/>
    <mergeCell ref="A102:C102"/>
    <mergeCell ref="A105:D105"/>
    <mergeCell ref="B107:C107"/>
    <mergeCell ref="B73:C73"/>
    <mergeCell ref="B59:C59"/>
    <mergeCell ref="B60:C60"/>
    <mergeCell ref="B61:C61"/>
    <mergeCell ref="B62:C62"/>
    <mergeCell ref="A66:C66"/>
    <mergeCell ref="A69:D69"/>
    <mergeCell ref="B71:C71"/>
    <mergeCell ref="B72:C72"/>
    <mergeCell ref="B63:C63"/>
    <mergeCell ref="B64:C64"/>
    <mergeCell ref="B65:C65"/>
    <mergeCell ref="B21:C21"/>
    <mergeCell ref="B22:C22"/>
    <mergeCell ref="B23:C23"/>
    <mergeCell ref="B58:C58"/>
    <mergeCell ref="B25:C25"/>
    <mergeCell ref="A26:C26"/>
    <mergeCell ref="A29:D29"/>
    <mergeCell ref="A31:D31"/>
    <mergeCell ref="B33:C33"/>
    <mergeCell ref="A37:B37"/>
    <mergeCell ref="A40:D40"/>
    <mergeCell ref="A51:B51"/>
    <mergeCell ref="A54:D54"/>
    <mergeCell ref="B56:C56"/>
    <mergeCell ref="B57:C57"/>
    <mergeCell ref="B127:C127"/>
    <mergeCell ref="C10:D10"/>
    <mergeCell ref="A1:D1"/>
    <mergeCell ref="A3:D3"/>
    <mergeCell ref="A5:B5"/>
    <mergeCell ref="A6:B6"/>
    <mergeCell ref="A8:D8"/>
    <mergeCell ref="B24:C24"/>
    <mergeCell ref="C11:D11"/>
    <mergeCell ref="C12:D12"/>
    <mergeCell ref="C13:D13"/>
    <mergeCell ref="C14:D14"/>
    <mergeCell ref="A16:D16"/>
    <mergeCell ref="B18:C18"/>
    <mergeCell ref="B19:C19"/>
    <mergeCell ref="B20:C20"/>
  </mergeCells>
  <pageMargins left="0.511811024" right="0.511811024" top="0.78740157499999996" bottom="0.78740157499999996" header="0.31496062000000002" footer="0.31496062000000002"/>
  <pageSetup paperSize="9" scale="8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56"/>
  <sheetViews>
    <sheetView topLeftCell="A121" zoomScale="115" zoomScaleNormal="115" workbookViewId="0">
      <selection activeCell="F15" sqref="F15:G15"/>
    </sheetView>
  </sheetViews>
  <sheetFormatPr defaultRowHeight="12.75" x14ac:dyDescent="0.2"/>
  <cols>
    <col min="1" max="1" width="9.140625" style="1"/>
    <col min="2" max="2" width="60.28515625" style="1" customWidth="1"/>
    <col min="3" max="3" width="18" style="1" customWidth="1"/>
    <col min="4" max="4" width="21.42578125" style="1" customWidth="1"/>
    <col min="5" max="5" width="15.140625" style="1" customWidth="1"/>
    <col min="6" max="16384" width="9.140625" style="1"/>
  </cols>
  <sheetData>
    <row r="1" spans="1:4" ht="15.75" x14ac:dyDescent="0.25">
      <c r="A1" s="111" t="s">
        <v>0</v>
      </c>
      <c r="B1" s="111"/>
      <c r="C1" s="111"/>
      <c r="D1" s="111"/>
    </row>
    <row r="2" spans="1:4" ht="15.75" x14ac:dyDescent="0.25">
      <c r="A2" s="24"/>
      <c r="B2" s="24"/>
      <c r="C2" s="24"/>
      <c r="D2" s="24"/>
    </row>
    <row r="3" spans="1:4" x14ac:dyDescent="0.2">
      <c r="A3" s="106" t="s">
        <v>89</v>
      </c>
      <c r="B3" s="106"/>
      <c r="C3" s="106"/>
      <c r="D3" s="106"/>
    </row>
    <row r="4" spans="1:4" x14ac:dyDescent="0.2">
      <c r="A4" s="2"/>
      <c r="B4" s="2"/>
      <c r="C4" s="2"/>
      <c r="D4" s="2"/>
    </row>
    <row r="5" spans="1:4" ht="38.25" x14ac:dyDescent="0.2">
      <c r="A5" s="113" t="s">
        <v>90</v>
      </c>
      <c r="B5" s="113"/>
      <c r="C5" s="34" t="s">
        <v>91</v>
      </c>
      <c r="D5" s="25" t="s">
        <v>92</v>
      </c>
    </row>
    <row r="6" spans="1:4" ht="25.5" customHeight="1" x14ac:dyDescent="0.2">
      <c r="A6" s="101" t="s">
        <v>123</v>
      </c>
      <c r="B6" s="102"/>
      <c r="C6" s="35" t="s">
        <v>100</v>
      </c>
      <c r="D6" s="32" t="s">
        <v>120</v>
      </c>
    </row>
    <row r="8" spans="1:4" x14ac:dyDescent="0.2">
      <c r="A8" s="106" t="s">
        <v>73</v>
      </c>
      <c r="B8" s="106"/>
      <c r="C8" s="106"/>
      <c r="D8" s="106"/>
    </row>
    <row r="9" spans="1:4" x14ac:dyDescent="0.2">
      <c r="A9" s="2"/>
      <c r="B9" s="2"/>
      <c r="C9" s="2"/>
      <c r="D9" s="2"/>
    </row>
    <row r="10" spans="1:4" x14ac:dyDescent="0.2">
      <c r="A10" s="5">
        <v>1</v>
      </c>
      <c r="B10" s="5" t="s">
        <v>74</v>
      </c>
      <c r="C10" s="103" t="s">
        <v>113</v>
      </c>
      <c r="D10" s="104"/>
    </row>
    <row r="11" spans="1:4" x14ac:dyDescent="0.2">
      <c r="A11" s="5">
        <v>2</v>
      </c>
      <c r="B11" s="5" t="s">
        <v>93</v>
      </c>
      <c r="C11" s="103">
        <v>517330</v>
      </c>
      <c r="D11" s="104"/>
    </row>
    <row r="12" spans="1:4" x14ac:dyDescent="0.2">
      <c r="A12" s="5">
        <v>3</v>
      </c>
      <c r="B12" s="5" t="s">
        <v>75</v>
      </c>
      <c r="C12" s="103">
        <v>1471.22</v>
      </c>
      <c r="D12" s="104"/>
    </row>
    <row r="13" spans="1:4" x14ac:dyDescent="0.2">
      <c r="A13" s="5">
        <v>4</v>
      </c>
      <c r="B13" s="5" t="s">
        <v>76</v>
      </c>
      <c r="C13" s="103" t="s">
        <v>102</v>
      </c>
      <c r="D13" s="104"/>
    </row>
    <row r="14" spans="1:4" x14ac:dyDescent="0.2">
      <c r="A14" s="5">
        <v>5</v>
      </c>
      <c r="B14" s="5" t="s">
        <v>77</v>
      </c>
      <c r="C14" s="105">
        <v>45292</v>
      </c>
      <c r="D14" s="104"/>
    </row>
    <row r="16" spans="1:4" x14ac:dyDescent="0.2">
      <c r="A16" s="106" t="s">
        <v>1</v>
      </c>
      <c r="B16" s="106"/>
      <c r="C16" s="106"/>
      <c r="D16" s="106"/>
    </row>
    <row r="18" spans="1:4" x14ac:dyDescent="0.2">
      <c r="A18" s="32">
        <v>1</v>
      </c>
      <c r="B18" s="98" t="s">
        <v>2</v>
      </c>
      <c r="C18" s="98"/>
      <c r="D18" s="32" t="s">
        <v>3</v>
      </c>
    </row>
    <row r="19" spans="1:4" x14ac:dyDescent="0.2">
      <c r="A19" s="34" t="s">
        <v>4</v>
      </c>
      <c r="B19" s="100" t="s">
        <v>5</v>
      </c>
      <c r="C19" s="100"/>
      <c r="D19" s="13">
        <v>1471.22</v>
      </c>
    </row>
    <row r="20" spans="1:4" x14ac:dyDescent="0.2">
      <c r="A20" s="34" t="s">
        <v>6</v>
      </c>
      <c r="B20" s="100" t="s">
        <v>7</v>
      </c>
      <c r="C20" s="100"/>
      <c r="D20" s="13">
        <f>D19*0.3</f>
        <v>441.36599999999999</v>
      </c>
    </row>
    <row r="21" spans="1:4" x14ac:dyDescent="0.2">
      <c r="A21" s="34" t="s">
        <v>8</v>
      </c>
      <c r="B21" s="100" t="s">
        <v>9</v>
      </c>
      <c r="C21" s="100"/>
      <c r="D21" s="13"/>
    </row>
    <row r="22" spans="1:4" x14ac:dyDescent="0.2">
      <c r="A22" s="34" t="s">
        <v>10</v>
      </c>
      <c r="B22" s="100" t="s">
        <v>11</v>
      </c>
      <c r="C22" s="100"/>
      <c r="D22" s="13">
        <f>8*15*((D19+D20)/220)*0.35</f>
        <v>365.13005454545447</v>
      </c>
    </row>
    <row r="23" spans="1:4" x14ac:dyDescent="0.2">
      <c r="A23" s="34" t="s">
        <v>12</v>
      </c>
      <c r="B23" s="100" t="s">
        <v>13</v>
      </c>
      <c r="C23" s="100"/>
      <c r="D23" s="13">
        <f>15*((D19+D20)/220)</f>
        <v>130.40359090909089</v>
      </c>
    </row>
    <row r="24" spans="1:4" x14ac:dyDescent="0.2">
      <c r="A24" s="34" t="s">
        <v>31</v>
      </c>
      <c r="B24" s="100" t="s">
        <v>114</v>
      </c>
      <c r="C24" s="100"/>
      <c r="D24" s="13">
        <v>0</v>
      </c>
    </row>
    <row r="25" spans="1:4" x14ac:dyDescent="0.2">
      <c r="A25" s="34" t="s">
        <v>14</v>
      </c>
      <c r="B25" s="100" t="s">
        <v>15</v>
      </c>
      <c r="C25" s="100"/>
      <c r="D25" s="13"/>
    </row>
    <row r="26" spans="1:4" x14ac:dyDescent="0.2">
      <c r="A26" s="98" t="s">
        <v>16</v>
      </c>
      <c r="B26" s="98"/>
      <c r="C26" s="98"/>
      <c r="D26" s="18">
        <f>SUM(D19:D25)</f>
        <v>2408.1196454545452</v>
      </c>
    </row>
    <row r="29" spans="1:4" x14ac:dyDescent="0.2">
      <c r="A29" s="99" t="s">
        <v>17</v>
      </c>
      <c r="B29" s="99"/>
      <c r="C29" s="99"/>
      <c r="D29" s="99"/>
    </row>
    <row r="30" spans="1:4" x14ac:dyDescent="0.2">
      <c r="A30" s="3"/>
    </row>
    <row r="31" spans="1:4" x14ac:dyDescent="0.2">
      <c r="A31" s="96" t="s">
        <v>18</v>
      </c>
      <c r="B31" s="96"/>
      <c r="C31" s="96"/>
      <c r="D31" s="96"/>
    </row>
    <row r="33" spans="1:4" x14ac:dyDescent="0.2">
      <c r="A33" s="32" t="s">
        <v>19</v>
      </c>
      <c r="B33" s="98" t="s">
        <v>20</v>
      </c>
      <c r="C33" s="98"/>
      <c r="D33" s="32" t="s">
        <v>3</v>
      </c>
    </row>
    <row r="34" spans="1:4" x14ac:dyDescent="0.2">
      <c r="A34" s="34" t="s">
        <v>4</v>
      </c>
      <c r="B34" s="31" t="s">
        <v>21</v>
      </c>
      <c r="C34" s="12">
        <f>TRUNC(1/12,4)</f>
        <v>8.3299999999999999E-2</v>
      </c>
      <c r="D34" s="13">
        <f>TRUNC($D$26*C34,2)</f>
        <v>200.59</v>
      </c>
    </row>
    <row r="35" spans="1:4" x14ac:dyDescent="0.2">
      <c r="A35" s="34" t="s">
        <v>6</v>
      </c>
      <c r="B35" s="31" t="s">
        <v>117</v>
      </c>
      <c r="C35" s="12">
        <f>TRUNC(((1)/12),4)</f>
        <v>8.3299999999999999E-2</v>
      </c>
      <c r="D35" s="13">
        <f>TRUNC($D$26*C35,2)</f>
        <v>200.59</v>
      </c>
    </row>
    <row r="36" spans="1:4" x14ac:dyDescent="0.2">
      <c r="A36" s="34" t="s">
        <v>8</v>
      </c>
      <c r="B36" s="31" t="s">
        <v>118</v>
      </c>
      <c r="C36" s="36">
        <f>TRUNC(((1/3)/12),4)</f>
        <v>2.7699999999999999E-2</v>
      </c>
      <c r="D36" s="13">
        <f>TRUNC($D$26*C36,2)</f>
        <v>66.7</v>
      </c>
    </row>
    <row r="37" spans="1:4" x14ac:dyDescent="0.2">
      <c r="A37" s="98" t="s">
        <v>16</v>
      </c>
      <c r="B37" s="98"/>
      <c r="C37" s="26">
        <f>SUM(C34:C36)</f>
        <v>0.1943</v>
      </c>
      <c r="D37" s="17">
        <f>SUM(D34:D36)</f>
        <v>467.88</v>
      </c>
    </row>
    <row r="40" spans="1:4" x14ac:dyDescent="0.2">
      <c r="A40" s="112" t="s">
        <v>22</v>
      </c>
      <c r="B40" s="112"/>
      <c r="C40" s="112"/>
      <c r="D40" s="112"/>
    </row>
    <row r="42" spans="1:4" x14ac:dyDescent="0.2">
      <c r="A42" s="32" t="s">
        <v>23</v>
      </c>
      <c r="B42" s="32" t="s">
        <v>24</v>
      </c>
      <c r="C42" s="32" t="s">
        <v>25</v>
      </c>
      <c r="D42" s="32" t="s">
        <v>3</v>
      </c>
    </row>
    <row r="43" spans="1:4" x14ac:dyDescent="0.2">
      <c r="A43" s="34" t="s">
        <v>4</v>
      </c>
      <c r="B43" s="31" t="s">
        <v>26</v>
      </c>
      <c r="C43" s="9">
        <v>0.2</v>
      </c>
      <c r="D43" s="13">
        <f>TRUNC(($D$26+$D$37)*C43,2)</f>
        <v>575.19000000000005</v>
      </c>
    </row>
    <row r="44" spans="1:4" x14ac:dyDescent="0.2">
      <c r="A44" s="34" t="s">
        <v>6</v>
      </c>
      <c r="B44" s="31" t="s">
        <v>27</v>
      </c>
      <c r="C44" s="9">
        <v>2.5000000000000001E-2</v>
      </c>
      <c r="D44" s="13">
        <f t="shared" ref="D44:D50" si="0">TRUNC(($D$26+$D$37)*C44,2)</f>
        <v>71.89</v>
      </c>
    </row>
    <row r="45" spans="1:4" x14ac:dyDescent="0.2">
      <c r="A45" s="34" t="s">
        <v>8</v>
      </c>
      <c r="B45" s="31" t="s">
        <v>28</v>
      </c>
      <c r="C45" s="16">
        <v>0.03</v>
      </c>
      <c r="D45" s="13">
        <f t="shared" si="0"/>
        <v>86.27</v>
      </c>
    </row>
    <row r="46" spans="1:4" x14ac:dyDescent="0.2">
      <c r="A46" s="34" t="s">
        <v>10</v>
      </c>
      <c r="B46" s="31" t="s">
        <v>29</v>
      </c>
      <c r="C46" s="9">
        <v>1.4999999999999999E-2</v>
      </c>
      <c r="D46" s="13">
        <f t="shared" si="0"/>
        <v>43.13</v>
      </c>
    </row>
    <row r="47" spans="1:4" x14ac:dyDescent="0.2">
      <c r="A47" s="34" t="s">
        <v>12</v>
      </c>
      <c r="B47" s="31" t="s">
        <v>30</v>
      </c>
      <c r="C47" s="9">
        <v>0.01</v>
      </c>
      <c r="D47" s="13">
        <f t="shared" si="0"/>
        <v>28.75</v>
      </c>
    </row>
    <row r="48" spans="1:4" x14ac:dyDescent="0.2">
      <c r="A48" s="34" t="s">
        <v>31</v>
      </c>
      <c r="B48" s="31" t="s">
        <v>32</v>
      </c>
      <c r="C48" s="9">
        <v>6.0000000000000001E-3</v>
      </c>
      <c r="D48" s="13">
        <f t="shared" si="0"/>
        <v>17.25</v>
      </c>
    </row>
    <row r="49" spans="1:4" x14ac:dyDescent="0.2">
      <c r="A49" s="34" t="s">
        <v>14</v>
      </c>
      <c r="B49" s="31" t="s">
        <v>33</v>
      </c>
      <c r="C49" s="9">
        <v>2E-3</v>
      </c>
      <c r="D49" s="13">
        <f t="shared" si="0"/>
        <v>5.75</v>
      </c>
    </row>
    <row r="50" spans="1:4" x14ac:dyDescent="0.2">
      <c r="A50" s="34" t="s">
        <v>34</v>
      </c>
      <c r="B50" s="31" t="s">
        <v>35</v>
      </c>
      <c r="C50" s="9">
        <v>0.08</v>
      </c>
      <c r="D50" s="13">
        <f t="shared" si="0"/>
        <v>230.07</v>
      </c>
    </row>
    <row r="51" spans="1:4" x14ac:dyDescent="0.2">
      <c r="A51" s="98" t="s">
        <v>36</v>
      </c>
      <c r="B51" s="98"/>
      <c r="C51" s="15">
        <f>SUM(C43:C50)</f>
        <v>0.36800000000000005</v>
      </c>
      <c r="D51" s="17">
        <f>SUM(D43:D50)</f>
        <v>1058.3</v>
      </c>
    </row>
    <row r="54" spans="1:4" x14ac:dyDescent="0.2">
      <c r="A54" s="96" t="s">
        <v>37</v>
      </c>
      <c r="B54" s="96"/>
      <c r="C54" s="96"/>
      <c r="D54" s="96"/>
    </row>
    <row r="56" spans="1:4" x14ac:dyDescent="0.2">
      <c r="A56" s="32" t="s">
        <v>38</v>
      </c>
      <c r="B56" s="97" t="s">
        <v>39</v>
      </c>
      <c r="C56" s="97"/>
      <c r="D56" s="32" t="s">
        <v>3</v>
      </c>
    </row>
    <row r="57" spans="1:4" x14ac:dyDescent="0.2">
      <c r="A57" s="34" t="s">
        <v>4</v>
      </c>
      <c r="B57" s="100" t="s">
        <v>40</v>
      </c>
      <c r="C57" s="100"/>
      <c r="D57" s="13">
        <f>(15*2*3.92)-(D19*0.06)</f>
        <v>29.326799999999992</v>
      </c>
    </row>
    <row r="58" spans="1:4" x14ac:dyDescent="0.2">
      <c r="A58" s="34" t="s">
        <v>6</v>
      </c>
      <c r="B58" s="100" t="s">
        <v>41</v>
      </c>
      <c r="C58" s="100"/>
      <c r="D58" s="13">
        <f>16.59*15*0.85</f>
        <v>211.52249999999998</v>
      </c>
    </row>
    <row r="59" spans="1:4" x14ac:dyDescent="0.2">
      <c r="A59" s="34" t="s">
        <v>8</v>
      </c>
      <c r="B59" s="100" t="s">
        <v>110</v>
      </c>
      <c r="C59" s="100"/>
      <c r="D59" s="13">
        <v>52.87</v>
      </c>
    </row>
    <row r="60" spans="1:4" x14ac:dyDescent="0.2">
      <c r="A60" s="34" t="s">
        <v>10</v>
      </c>
      <c r="B60" s="100" t="s">
        <v>104</v>
      </c>
      <c r="C60" s="100"/>
      <c r="D60" s="13">
        <v>8.5</v>
      </c>
    </row>
    <row r="61" spans="1:4" x14ac:dyDescent="0.2">
      <c r="A61" s="34" t="s">
        <v>12</v>
      </c>
      <c r="B61" s="100" t="s">
        <v>105</v>
      </c>
      <c r="C61" s="100"/>
      <c r="D61" s="13">
        <v>3.5</v>
      </c>
    </row>
    <row r="62" spans="1:4" x14ac:dyDescent="0.2">
      <c r="A62" s="34" t="s">
        <v>31</v>
      </c>
      <c r="B62" s="100" t="s">
        <v>111</v>
      </c>
      <c r="C62" s="100"/>
      <c r="D62" s="13"/>
    </row>
    <row r="63" spans="1:4" x14ac:dyDescent="0.2">
      <c r="A63" s="41" t="s">
        <v>14</v>
      </c>
      <c r="B63" s="100" t="s">
        <v>179</v>
      </c>
      <c r="C63" s="100"/>
      <c r="D63" s="13"/>
    </row>
    <row r="64" spans="1:4" x14ac:dyDescent="0.2">
      <c r="A64" s="93" t="s">
        <v>34</v>
      </c>
      <c r="B64" s="100" t="s">
        <v>207</v>
      </c>
      <c r="C64" s="100"/>
      <c r="D64" s="13">
        <f>D19*0.22*(21/24)</f>
        <v>283.20985000000002</v>
      </c>
    </row>
    <row r="65" spans="1:4" x14ac:dyDescent="0.2">
      <c r="A65" s="93" t="s">
        <v>206</v>
      </c>
      <c r="B65" s="100" t="s">
        <v>209</v>
      </c>
      <c r="C65" s="100"/>
      <c r="D65" s="13">
        <f>233.73*(2/3)</f>
        <v>155.82</v>
      </c>
    </row>
    <row r="66" spans="1:4" x14ac:dyDescent="0.2">
      <c r="A66" s="98" t="s">
        <v>16</v>
      </c>
      <c r="B66" s="98"/>
      <c r="C66" s="98"/>
      <c r="D66" s="17">
        <f>SUM(D57:D65)</f>
        <v>744.74914999999987</v>
      </c>
    </row>
    <row r="69" spans="1:4" x14ac:dyDescent="0.2">
      <c r="A69" s="96" t="s">
        <v>42</v>
      </c>
      <c r="B69" s="96"/>
      <c r="C69" s="96"/>
      <c r="D69" s="96"/>
    </row>
    <row r="71" spans="1:4" x14ac:dyDescent="0.2">
      <c r="A71" s="32">
        <v>2</v>
      </c>
      <c r="B71" s="97" t="s">
        <v>43</v>
      </c>
      <c r="C71" s="97"/>
      <c r="D71" s="32" t="s">
        <v>3</v>
      </c>
    </row>
    <row r="72" spans="1:4" x14ac:dyDescent="0.2">
      <c r="A72" s="34" t="s">
        <v>19</v>
      </c>
      <c r="B72" s="100" t="s">
        <v>20</v>
      </c>
      <c r="C72" s="100"/>
      <c r="D72" s="14">
        <f>D37</f>
        <v>467.88</v>
      </c>
    </row>
    <row r="73" spans="1:4" x14ac:dyDescent="0.2">
      <c r="A73" s="34" t="s">
        <v>23</v>
      </c>
      <c r="B73" s="100" t="s">
        <v>24</v>
      </c>
      <c r="C73" s="100"/>
      <c r="D73" s="14">
        <f>D51</f>
        <v>1058.3</v>
      </c>
    </row>
    <row r="74" spans="1:4" x14ac:dyDescent="0.2">
      <c r="A74" s="34" t="s">
        <v>38</v>
      </c>
      <c r="B74" s="100" t="s">
        <v>39</v>
      </c>
      <c r="C74" s="100"/>
      <c r="D74" s="14">
        <f>D66</f>
        <v>744.74914999999987</v>
      </c>
    </row>
    <row r="75" spans="1:4" x14ac:dyDescent="0.2">
      <c r="A75" s="98" t="s">
        <v>16</v>
      </c>
      <c r="B75" s="98"/>
      <c r="C75" s="98"/>
      <c r="D75" s="17">
        <f>SUM(D72:D74)</f>
        <v>2270.9291499999999</v>
      </c>
    </row>
    <row r="76" spans="1:4" x14ac:dyDescent="0.2">
      <c r="A76" s="4"/>
    </row>
    <row r="78" spans="1:4" x14ac:dyDescent="0.2">
      <c r="A78" s="99" t="s">
        <v>44</v>
      </c>
      <c r="B78" s="99"/>
      <c r="C78" s="99"/>
      <c r="D78" s="99"/>
    </row>
    <row r="79" spans="1:4" ht="12.75" customHeight="1" x14ac:dyDescent="0.2"/>
    <row r="80" spans="1:4" x14ac:dyDescent="0.2">
      <c r="A80" s="38">
        <v>3</v>
      </c>
      <c r="B80" s="97" t="s">
        <v>45</v>
      </c>
      <c r="C80" s="97"/>
      <c r="D80" s="38" t="s">
        <v>3</v>
      </c>
    </row>
    <row r="81" spans="1:4" x14ac:dyDescent="0.2">
      <c r="A81" s="39" t="s">
        <v>4</v>
      </c>
      <c r="B81" s="10" t="s">
        <v>46</v>
      </c>
      <c r="C81" s="9">
        <f>TRUNC(((1/12)*5%),4)</f>
        <v>4.1000000000000003E-3</v>
      </c>
      <c r="D81" s="13">
        <f>TRUNC($D$26*C81,2)</f>
        <v>9.8699999999999992</v>
      </c>
    </row>
    <row r="82" spans="1:4" x14ac:dyDescent="0.2">
      <c r="A82" s="39" t="s">
        <v>6</v>
      </c>
      <c r="B82" s="10" t="s">
        <v>47</v>
      </c>
      <c r="C82" s="9">
        <v>0.08</v>
      </c>
      <c r="D82" s="13">
        <f>TRUNC(D81*C82,2)</f>
        <v>0.78</v>
      </c>
    </row>
    <row r="83" spans="1:4" x14ac:dyDescent="0.2">
      <c r="A83" s="39" t="s">
        <v>8</v>
      </c>
      <c r="B83" s="10" t="s">
        <v>48</v>
      </c>
      <c r="C83" s="9">
        <f>TRUNC(8%*5%*40%,4)</f>
        <v>1.6000000000000001E-3</v>
      </c>
      <c r="D83" s="13">
        <f>TRUNC($D$26*C83,2)</f>
        <v>3.85</v>
      </c>
    </row>
    <row r="84" spans="1:4" x14ac:dyDescent="0.2">
      <c r="A84" s="39" t="s">
        <v>10</v>
      </c>
      <c r="B84" s="10" t="s">
        <v>49</v>
      </c>
      <c r="C84" s="9">
        <f>TRUNC(((7/30)/12)*95%,4)</f>
        <v>1.84E-2</v>
      </c>
      <c r="D84" s="13">
        <f>TRUNC($D$26*C84,2)</f>
        <v>44.3</v>
      </c>
    </row>
    <row r="85" spans="1:4" ht="25.5" x14ac:dyDescent="0.2">
      <c r="A85" s="39" t="s">
        <v>12</v>
      </c>
      <c r="B85" s="10" t="s">
        <v>94</v>
      </c>
      <c r="C85" s="9">
        <f>C51</f>
        <v>0.36800000000000005</v>
      </c>
      <c r="D85" s="13">
        <f>TRUNC(D84*C85,2)</f>
        <v>16.3</v>
      </c>
    </row>
    <row r="86" spans="1:4" x14ac:dyDescent="0.2">
      <c r="A86" s="39" t="s">
        <v>31</v>
      </c>
      <c r="B86" s="10" t="s">
        <v>50</v>
      </c>
      <c r="C86" s="9">
        <f>TRUNC(8%*95%*40%,4)</f>
        <v>3.04E-2</v>
      </c>
      <c r="D86" s="13">
        <f t="shared" ref="D86" si="1">TRUNC($D$26*C86,2)</f>
        <v>73.2</v>
      </c>
    </row>
    <row r="87" spans="1:4" x14ac:dyDescent="0.2">
      <c r="A87" s="101" t="s">
        <v>16</v>
      </c>
      <c r="B87" s="110"/>
      <c r="C87" s="102"/>
      <c r="D87" s="17">
        <f>SUM(D81:D86)</f>
        <v>148.30000000000001</v>
      </c>
    </row>
    <row r="90" spans="1:4" x14ac:dyDescent="0.2">
      <c r="A90" s="99" t="s">
        <v>51</v>
      </c>
      <c r="B90" s="99"/>
      <c r="C90" s="99"/>
      <c r="D90" s="99"/>
    </row>
    <row r="93" spans="1:4" x14ac:dyDescent="0.2">
      <c r="A93" s="96" t="s">
        <v>78</v>
      </c>
      <c r="B93" s="96"/>
      <c r="C93" s="96"/>
      <c r="D93" s="96"/>
    </row>
    <row r="94" spans="1:4" x14ac:dyDescent="0.2">
      <c r="A94" s="3"/>
    </row>
    <row r="95" spans="1:4" x14ac:dyDescent="0.2">
      <c r="A95" s="38" t="s">
        <v>52</v>
      </c>
      <c r="B95" s="97" t="s">
        <v>79</v>
      </c>
      <c r="C95" s="97"/>
      <c r="D95" s="38" t="s">
        <v>3</v>
      </c>
    </row>
    <row r="96" spans="1:4" x14ac:dyDescent="0.2">
      <c r="A96" s="39" t="s">
        <v>4</v>
      </c>
      <c r="B96" s="37" t="s">
        <v>80</v>
      </c>
      <c r="C96" s="9">
        <f>TRUNC(((1+1/3)/12)/12,4)*0</f>
        <v>0</v>
      </c>
      <c r="D96" s="13">
        <f t="shared" ref="D96:D101" si="2">TRUNC(($D$26+$D$75+$D$87)*C96,2)</f>
        <v>0</v>
      </c>
    </row>
    <row r="97" spans="1:4" x14ac:dyDescent="0.2">
      <c r="A97" s="39" t="s">
        <v>6</v>
      </c>
      <c r="B97" s="37" t="s">
        <v>81</v>
      </c>
      <c r="C97" s="9">
        <f>TRUNC(((2/30)/12),4)</f>
        <v>5.4999999999999997E-3</v>
      </c>
      <c r="D97" s="13">
        <f t="shared" si="2"/>
        <v>26.55</v>
      </c>
    </row>
    <row r="98" spans="1:4" x14ac:dyDescent="0.2">
      <c r="A98" s="39" t="s">
        <v>8</v>
      </c>
      <c r="B98" s="37" t="s">
        <v>82</v>
      </c>
      <c r="C98" s="9">
        <f>TRUNC(((5/30)/12)*2%,4)*0</f>
        <v>0</v>
      </c>
      <c r="D98" s="13">
        <f t="shared" si="2"/>
        <v>0</v>
      </c>
    </row>
    <row r="99" spans="1:4" x14ac:dyDescent="0.2">
      <c r="A99" s="39" t="s">
        <v>10</v>
      </c>
      <c r="B99" s="37" t="s">
        <v>83</v>
      </c>
      <c r="C99" s="9">
        <f>TRUNC(((15/30)/12)*8%,4)*0</f>
        <v>0</v>
      </c>
      <c r="D99" s="13">
        <f t="shared" si="2"/>
        <v>0</v>
      </c>
    </row>
    <row r="100" spans="1:4" x14ac:dyDescent="0.2">
      <c r="A100" s="39" t="s">
        <v>12</v>
      </c>
      <c r="B100" s="37" t="s">
        <v>84</v>
      </c>
      <c r="C100" s="9">
        <f>((1+1/3)/12)*3%*(4/12)*0</f>
        <v>0</v>
      </c>
      <c r="D100" s="13">
        <f t="shared" si="2"/>
        <v>0</v>
      </c>
    </row>
    <row r="101" spans="1:4" x14ac:dyDescent="0.2">
      <c r="A101" s="39" t="s">
        <v>31</v>
      </c>
      <c r="B101" s="37" t="s">
        <v>85</v>
      </c>
      <c r="C101" s="9"/>
      <c r="D101" s="13">
        <f t="shared" si="2"/>
        <v>0</v>
      </c>
    </row>
    <row r="102" spans="1:4" x14ac:dyDescent="0.2">
      <c r="A102" s="98" t="s">
        <v>36</v>
      </c>
      <c r="B102" s="98"/>
      <c r="C102" s="98"/>
      <c r="D102" s="17">
        <f>SUM(D96:D101)</f>
        <v>26.55</v>
      </c>
    </row>
    <row r="105" spans="1:4" x14ac:dyDescent="0.2">
      <c r="A105" s="96" t="s">
        <v>86</v>
      </c>
      <c r="B105" s="96"/>
      <c r="C105" s="96"/>
      <c r="D105" s="96"/>
    </row>
    <row r="106" spans="1:4" x14ac:dyDescent="0.2">
      <c r="A106" s="3"/>
    </row>
    <row r="107" spans="1:4" x14ac:dyDescent="0.2">
      <c r="A107" s="32" t="s">
        <v>53</v>
      </c>
      <c r="B107" s="97" t="s">
        <v>87</v>
      </c>
      <c r="C107" s="97"/>
      <c r="D107" s="32" t="s">
        <v>3</v>
      </c>
    </row>
    <row r="108" spans="1:4" x14ac:dyDescent="0.2">
      <c r="A108" s="34" t="s">
        <v>4</v>
      </c>
      <c r="B108" s="107" t="s">
        <v>88</v>
      </c>
      <c r="C108" s="108"/>
      <c r="D108" s="13">
        <f>((D26+D75+D87)/220)*22*0</f>
        <v>0</v>
      </c>
    </row>
    <row r="109" spans="1:4" x14ac:dyDescent="0.2">
      <c r="A109" s="98" t="s">
        <v>16</v>
      </c>
      <c r="B109" s="98"/>
      <c r="C109" s="98"/>
      <c r="D109" s="17">
        <f>SUM(D108)</f>
        <v>0</v>
      </c>
    </row>
    <row r="112" spans="1:4" x14ac:dyDescent="0.2">
      <c r="A112" s="96" t="s">
        <v>54</v>
      </c>
      <c r="B112" s="96"/>
      <c r="C112" s="96"/>
      <c r="D112" s="96"/>
    </row>
    <row r="113" spans="1:4" x14ac:dyDescent="0.2">
      <c r="A113" s="3"/>
    </row>
    <row r="114" spans="1:4" x14ac:dyDescent="0.2">
      <c r="A114" s="32">
        <v>4</v>
      </c>
      <c r="B114" s="98" t="s">
        <v>55</v>
      </c>
      <c r="C114" s="98"/>
      <c r="D114" s="32" t="s">
        <v>3</v>
      </c>
    </row>
    <row r="115" spans="1:4" x14ac:dyDescent="0.2">
      <c r="A115" s="34" t="s">
        <v>52</v>
      </c>
      <c r="B115" s="100" t="s">
        <v>79</v>
      </c>
      <c r="C115" s="100"/>
      <c r="D115" s="14">
        <f>D102</f>
        <v>26.55</v>
      </c>
    </row>
    <row r="116" spans="1:4" x14ac:dyDescent="0.2">
      <c r="A116" s="34" t="s">
        <v>53</v>
      </c>
      <c r="B116" s="100" t="s">
        <v>87</v>
      </c>
      <c r="C116" s="100"/>
      <c r="D116" s="14">
        <f>D109</f>
        <v>0</v>
      </c>
    </row>
    <row r="117" spans="1:4" x14ac:dyDescent="0.2">
      <c r="A117" s="98" t="s">
        <v>16</v>
      </c>
      <c r="B117" s="98"/>
      <c r="C117" s="98"/>
      <c r="D117" s="17">
        <f>SUM(D115:D116)</f>
        <v>26.55</v>
      </c>
    </row>
    <row r="120" spans="1:4" x14ac:dyDescent="0.2">
      <c r="A120" s="99" t="s">
        <v>56</v>
      </c>
      <c r="B120" s="99"/>
      <c r="C120" s="99"/>
      <c r="D120" s="99"/>
    </row>
    <row r="122" spans="1:4" x14ac:dyDescent="0.2">
      <c r="A122" s="32">
        <v>5</v>
      </c>
      <c r="B122" s="109" t="s">
        <v>57</v>
      </c>
      <c r="C122" s="109"/>
      <c r="D122" s="32" t="s">
        <v>3</v>
      </c>
    </row>
    <row r="123" spans="1:4" x14ac:dyDescent="0.2">
      <c r="A123" s="34" t="s">
        <v>4</v>
      </c>
      <c r="B123" s="100" t="s">
        <v>58</v>
      </c>
      <c r="C123" s="100"/>
      <c r="D123" s="13">
        <v>151.96</v>
      </c>
    </row>
    <row r="124" spans="1:4" x14ac:dyDescent="0.2">
      <c r="A124" s="34" t="s">
        <v>6</v>
      </c>
      <c r="B124" s="100" t="s">
        <v>59</v>
      </c>
      <c r="C124" s="100"/>
      <c r="D124" s="13">
        <v>2.2599999999999998</v>
      </c>
    </row>
    <row r="125" spans="1:4" x14ac:dyDescent="0.2">
      <c r="A125" s="34" t="s">
        <v>8</v>
      </c>
      <c r="B125" s="100" t="s">
        <v>60</v>
      </c>
      <c r="C125" s="100"/>
      <c r="D125" s="13">
        <v>21.12</v>
      </c>
    </row>
    <row r="126" spans="1:4" x14ac:dyDescent="0.2">
      <c r="A126" s="34" t="s">
        <v>10</v>
      </c>
      <c r="B126" s="100" t="s">
        <v>180</v>
      </c>
      <c r="C126" s="100"/>
      <c r="D126" s="13">
        <v>93.59</v>
      </c>
    </row>
    <row r="127" spans="1:4" x14ac:dyDescent="0.2">
      <c r="A127" s="93" t="s">
        <v>12</v>
      </c>
      <c r="B127" s="100" t="s">
        <v>208</v>
      </c>
      <c r="C127" s="100"/>
      <c r="D127" s="13">
        <v>84</v>
      </c>
    </row>
    <row r="128" spans="1:4" x14ac:dyDescent="0.2">
      <c r="A128" s="98" t="s">
        <v>36</v>
      </c>
      <c r="B128" s="98"/>
      <c r="C128" s="98"/>
      <c r="D128" s="18">
        <f>SUM(D123:D127)</f>
        <v>352.93</v>
      </c>
    </row>
    <row r="131" spans="1:4" x14ac:dyDescent="0.2">
      <c r="A131" s="99" t="s">
        <v>61</v>
      </c>
      <c r="B131" s="99"/>
      <c r="C131" s="99"/>
      <c r="D131" s="99"/>
    </row>
    <row r="133" spans="1:4" x14ac:dyDescent="0.2">
      <c r="A133" s="32">
        <v>6</v>
      </c>
      <c r="B133" s="33" t="s">
        <v>62</v>
      </c>
      <c r="C133" s="32" t="s">
        <v>25</v>
      </c>
      <c r="D133" s="32" t="s">
        <v>3</v>
      </c>
    </row>
    <row r="134" spans="1:4" x14ac:dyDescent="0.2">
      <c r="A134" s="34" t="s">
        <v>4</v>
      </c>
      <c r="B134" s="31" t="s">
        <v>63</v>
      </c>
      <c r="C134" s="9">
        <v>0.06</v>
      </c>
      <c r="D134" s="14">
        <f>D154*C134</f>
        <v>312.40972772727275</v>
      </c>
    </row>
    <row r="135" spans="1:4" x14ac:dyDescent="0.2">
      <c r="A135" s="34" t="s">
        <v>6</v>
      </c>
      <c r="B135" s="31" t="s">
        <v>64</v>
      </c>
      <c r="C135" s="9">
        <v>6.7900000000000002E-2</v>
      </c>
      <c r="D135" s="13">
        <f>(D154+D134)*C135</f>
        <v>374.75629572404551</v>
      </c>
    </row>
    <row r="136" spans="1:4" x14ac:dyDescent="0.2">
      <c r="A136" s="34" t="s">
        <v>8</v>
      </c>
      <c r="B136" s="31" t="s">
        <v>65</v>
      </c>
      <c r="C136" s="12">
        <f>SUM(C137:C142)</f>
        <v>8.6499999999999994E-2</v>
      </c>
      <c r="D136" s="13">
        <f>(D154+D134+D135)*C136/(1-C136)</f>
        <v>558.10678909179774</v>
      </c>
    </row>
    <row r="137" spans="1:4" x14ac:dyDescent="0.2">
      <c r="A137" s="34"/>
      <c r="B137" s="31" t="s">
        <v>66</v>
      </c>
      <c r="C137" s="9"/>
      <c r="D137" s="14">
        <f>$D$156*C137</f>
        <v>0</v>
      </c>
    </row>
    <row r="138" spans="1:4" x14ac:dyDescent="0.2">
      <c r="A138" s="34"/>
      <c r="B138" s="31" t="s">
        <v>96</v>
      </c>
      <c r="C138" s="9">
        <v>6.4999999999999997E-3</v>
      </c>
      <c r="D138" s="14">
        <f t="shared" ref="D138:D142" si="3">$D$156*C138</f>
        <v>41.938660451984802</v>
      </c>
    </row>
    <row r="139" spans="1:4" x14ac:dyDescent="0.2">
      <c r="A139" s="34"/>
      <c r="B139" s="31" t="s">
        <v>97</v>
      </c>
      <c r="C139" s="9">
        <v>0.03</v>
      </c>
      <c r="D139" s="14">
        <f t="shared" si="3"/>
        <v>193.56304823992986</v>
      </c>
    </row>
    <row r="140" spans="1:4" x14ac:dyDescent="0.2">
      <c r="A140" s="34"/>
      <c r="B140" s="31" t="s">
        <v>67</v>
      </c>
      <c r="C140" s="34"/>
      <c r="D140" s="14">
        <f t="shared" si="3"/>
        <v>0</v>
      </c>
    </row>
    <row r="141" spans="1:4" x14ac:dyDescent="0.2">
      <c r="A141" s="34"/>
      <c r="B141" s="31" t="s">
        <v>68</v>
      </c>
      <c r="C141" s="9"/>
      <c r="D141" s="14">
        <f t="shared" si="3"/>
        <v>0</v>
      </c>
    </row>
    <row r="142" spans="1:4" x14ac:dyDescent="0.2">
      <c r="A142" s="34"/>
      <c r="B142" s="31" t="s">
        <v>98</v>
      </c>
      <c r="C142" s="9">
        <v>0.05</v>
      </c>
      <c r="D142" s="14">
        <f t="shared" si="3"/>
        <v>322.60508039988309</v>
      </c>
    </row>
    <row r="143" spans="1:4" ht="13.5" x14ac:dyDescent="0.2">
      <c r="A143" s="101" t="s">
        <v>36</v>
      </c>
      <c r="B143" s="110"/>
      <c r="C143" s="19">
        <f>(1+C135)*(1+C134)/(1-C136)-1</f>
        <v>0.2391614668856048</v>
      </c>
      <c r="D143" s="17">
        <f>SUM(D134:D136)</f>
        <v>1245.2728125431161</v>
      </c>
    </row>
    <row r="146" spans="1:4" x14ac:dyDescent="0.2">
      <c r="A146" s="99" t="s">
        <v>69</v>
      </c>
      <c r="B146" s="99"/>
      <c r="C146" s="99"/>
      <c r="D146" s="99"/>
    </row>
    <row r="148" spans="1:4" x14ac:dyDescent="0.2">
      <c r="A148" s="32"/>
      <c r="B148" s="98" t="s">
        <v>70</v>
      </c>
      <c r="C148" s="98"/>
      <c r="D148" s="32" t="s">
        <v>3</v>
      </c>
    </row>
    <row r="149" spans="1:4" x14ac:dyDescent="0.2">
      <c r="A149" s="32" t="s">
        <v>4</v>
      </c>
      <c r="B149" s="100" t="s">
        <v>1</v>
      </c>
      <c r="C149" s="100"/>
      <c r="D149" s="20">
        <f>D26</f>
        <v>2408.1196454545452</v>
      </c>
    </row>
    <row r="150" spans="1:4" x14ac:dyDescent="0.2">
      <c r="A150" s="32" t="s">
        <v>6</v>
      </c>
      <c r="B150" s="100" t="s">
        <v>17</v>
      </c>
      <c r="C150" s="100"/>
      <c r="D150" s="20">
        <f>D75</f>
        <v>2270.9291499999999</v>
      </c>
    </row>
    <row r="151" spans="1:4" x14ac:dyDescent="0.2">
      <c r="A151" s="32" t="s">
        <v>8</v>
      </c>
      <c r="B151" s="100" t="s">
        <v>44</v>
      </c>
      <c r="C151" s="100"/>
      <c r="D151" s="20">
        <f>D87</f>
        <v>148.30000000000001</v>
      </c>
    </row>
    <row r="152" spans="1:4" x14ac:dyDescent="0.2">
      <c r="A152" s="32" t="s">
        <v>10</v>
      </c>
      <c r="B152" s="100" t="s">
        <v>51</v>
      </c>
      <c r="C152" s="100"/>
      <c r="D152" s="20">
        <f>D117</f>
        <v>26.55</v>
      </c>
    </row>
    <row r="153" spans="1:4" x14ac:dyDescent="0.2">
      <c r="A153" s="32" t="s">
        <v>12</v>
      </c>
      <c r="B153" s="100" t="s">
        <v>56</v>
      </c>
      <c r="C153" s="100"/>
      <c r="D153" s="20">
        <f>D128</f>
        <v>352.93</v>
      </c>
    </row>
    <row r="154" spans="1:4" x14ac:dyDescent="0.2">
      <c r="A154" s="98" t="s">
        <v>95</v>
      </c>
      <c r="B154" s="98"/>
      <c r="C154" s="98"/>
      <c r="D154" s="21">
        <f>SUM(D149:D153)</f>
        <v>5206.8287954545458</v>
      </c>
    </row>
    <row r="155" spans="1:4" x14ac:dyDescent="0.2">
      <c r="A155" s="32" t="s">
        <v>31</v>
      </c>
      <c r="B155" s="100" t="s">
        <v>71</v>
      </c>
      <c r="C155" s="100"/>
      <c r="D155" s="22">
        <f>D143</f>
        <v>1245.2728125431161</v>
      </c>
    </row>
    <row r="156" spans="1:4" x14ac:dyDescent="0.2">
      <c r="A156" s="98" t="s">
        <v>72</v>
      </c>
      <c r="B156" s="98"/>
      <c r="C156" s="98"/>
      <c r="D156" s="21">
        <f>SUM(D154:D155)</f>
        <v>6452.1016079976616</v>
      </c>
    </row>
  </sheetData>
  <mergeCells count="80">
    <mergeCell ref="A154:C154"/>
    <mergeCell ref="B155:C155"/>
    <mergeCell ref="A156:C156"/>
    <mergeCell ref="B148:C148"/>
    <mergeCell ref="B149:C149"/>
    <mergeCell ref="B150:C150"/>
    <mergeCell ref="B151:C151"/>
    <mergeCell ref="B152:C152"/>
    <mergeCell ref="B153:C153"/>
    <mergeCell ref="A146:D146"/>
    <mergeCell ref="A109:C109"/>
    <mergeCell ref="A112:D112"/>
    <mergeCell ref="B114:C114"/>
    <mergeCell ref="B115:C115"/>
    <mergeCell ref="B116:C116"/>
    <mergeCell ref="A117:C117"/>
    <mergeCell ref="A120:D120"/>
    <mergeCell ref="B122:C122"/>
    <mergeCell ref="A128:C128"/>
    <mergeCell ref="A131:D131"/>
    <mergeCell ref="A143:B143"/>
    <mergeCell ref="B123:C123"/>
    <mergeCell ref="B124:C124"/>
    <mergeCell ref="B125:C125"/>
    <mergeCell ref="B126:C126"/>
    <mergeCell ref="B108:C108"/>
    <mergeCell ref="B74:C74"/>
    <mergeCell ref="A75:C75"/>
    <mergeCell ref="A78:D78"/>
    <mergeCell ref="B80:C80"/>
    <mergeCell ref="A87:C87"/>
    <mergeCell ref="A90:D90"/>
    <mergeCell ref="A93:D93"/>
    <mergeCell ref="B95:C95"/>
    <mergeCell ref="A102:C102"/>
    <mergeCell ref="A105:D105"/>
    <mergeCell ref="B107:C107"/>
    <mergeCell ref="B73:C73"/>
    <mergeCell ref="B59:C59"/>
    <mergeCell ref="B60:C60"/>
    <mergeCell ref="B61:C61"/>
    <mergeCell ref="B62:C62"/>
    <mergeCell ref="A66:C66"/>
    <mergeCell ref="A69:D69"/>
    <mergeCell ref="B71:C71"/>
    <mergeCell ref="B72:C72"/>
    <mergeCell ref="B63:C63"/>
    <mergeCell ref="B64:C64"/>
    <mergeCell ref="B65:C65"/>
    <mergeCell ref="B21:C21"/>
    <mergeCell ref="B22:C22"/>
    <mergeCell ref="B23:C23"/>
    <mergeCell ref="B58:C58"/>
    <mergeCell ref="B25:C25"/>
    <mergeCell ref="A26:C26"/>
    <mergeCell ref="A29:D29"/>
    <mergeCell ref="A31:D31"/>
    <mergeCell ref="B33:C33"/>
    <mergeCell ref="A37:B37"/>
    <mergeCell ref="A40:D40"/>
    <mergeCell ref="A51:B51"/>
    <mergeCell ref="A54:D54"/>
    <mergeCell ref="B56:C56"/>
    <mergeCell ref="B57:C57"/>
    <mergeCell ref="B127:C127"/>
    <mergeCell ref="C10:D10"/>
    <mergeCell ref="A1:D1"/>
    <mergeCell ref="A3:D3"/>
    <mergeCell ref="A5:B5"/>
    <mergeCell ref="A6:B6"/>
    <mergeCell ref="A8:D8"/>
    <mergeCell ref="B24:C24"/>
    <mergeCell ref="C11:D11"/>
    <mergeCell ref="C12:D12"/>
    <mergeCell ref="C13:D13"/>
    <mergeCell ref="C14:D14"/>
    <mergeCell ref="A16:D16"/>
    <mergeCell ref="B18:C18"/>
    <mergeCell ref="B19:C19"/>
    <mergeCell ref="B20:C20"/>
  </mergeCells>
  <pageMargins left="0.511811024" right="0.511811024" top="0.78740157499999996" bottom="0.78740157499999996" header="0.31496062000000002" footer="0.31496062000000002"/>
  <pageSetup paperSize="9" scale="84" fitToHeight="0"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view="pageBreakPreview" topLeftCell="A13" zoomScaleNormal="115" zoomScaleSheetLayoutView="100" workbookViewId="0">
      <selection activeCell="H16" sqref="H16"/>
    </sheetView>
  </sheetViews>
  <sheetFormatPr defaultRowHeight="12.75" x14ac:dyDescent="0.2"/>
  <cols>
    <col min="1" max="1" width="25.7109375" style="1" customWidth="1"/>
    <col min="2" max="11" width="12.7109375" style="1" customWidth="1"/>
    <col min="12" max="16384" width="9.140625" style="1"/>
  </cols>
  <sheetData>
    <row r="1" spans="1:9" x14ac:dyDescent="0.2">
      <c r="A1" s="42" t="s">
        <v>125</v>
      </c>
    </row>
    <row r="2" spans="1:9" x14ac:dyDescent="0.2">
      <c r="A2" s="1" t="s">
        <v>124</v>
      </c>
    </row>
    <row r="4" spans="1:9" s="86" customFormat="1" ht="38.25" customHeight="1" x14ac:dyDescent="0.25">
      <c r="A4" s="85" t="s">
        <v>127</v>
      </c>
      <c r="B4" s="114" t="s">
        <v>126</v>
      </c>
      <c r="C4" s="115"/>
      <c r="D4" s="115"/>
      <c r="E4" s="116"/>
      <c r="F4" s="118" t="s">
        <v>191</v>
      </c>
      <c r="G4" s="119"/>
      <c r="H4" s="118" t="s">
        <v>186</v>
      </c>
      <c r="I4" s="119"/>
    </row>
    <row r="5" spans="1:9" s="4" customFormat="1" ht="80.099999999999994" customHeight="1" x14ac:dyDescent="0.25">
      <c r="A5" s="59" t="s">
        <v>128</v>
      </c>
      <c r="B5" s="120" t="str">
        <f>superv44!A6</f>
        <v>VIGILÂNCIA ARMADA DIURNA - Vigilante Supervisor, com jornada de 44 horas semanais, TRAJE SOCIAL</v>
      </c>
      <c r="C5" s="121"/>
      <c r="D5" s="121" t="str">
        <f>vig44ssasoc!A6</f>
        <v>VIGILÂNCIA ARMADA DIURNA - jornada de 44 horas semanais, TRAJE SOCIAL</v>
      </c>
      <c r="E5" s="121"/>
      <c r="F5" s="117" t="str">
        <f>vig44int!A6</f>
        <v>VIGILÂNCIA ARMADA DIURNA - jornada de 44 horas semanais, FARDAMENTO TÁTICO</v>
      </c>
      <c r="G5" s="117"/>
      <c r="H5" s="117" t="str">
        <f>vig44int!A6</f>
        <v>VIGILÂNCIA ARMADA DIURNA - jornada de 44 horas semanais, FARDAMENTO TÁTICO</v>
      </c>
      <c r="I5" s="117"/>
    </row>
    <row r="6" spans="1:9" x14ac:dyDescent="0.2">
      <c r="A6" s="60" t="s">
        <v>129</v>
      </c>
      <c r="B6" s="51"/>
      <c r="C6" s="53">
        <f>superv44!D26</f>
        <v>2648.1959999999999</v>
      </c>
      <c r="D6" s="51"/>
      <c r="E6" s="53">
        <f>vig44ssasoc!D26</f>
        <v>1912.586</v>
      </c>
      <c r="F6" s="46"/>
      <c r="G6" s="47">
        <f>vig44int!D26</f>
        <v>1912.586</v>
      </c>
      <c r="H6" s="46"/>
      <c r="I6" s="47">
        <f>vig44int!D26</f>
        <v>1912.586</v>
      </c>
    </row>
    <row r="7" spans="1:9" x14ac:dyDescent="0.2">
      <c r="A7" s="60" t="s">
        <v>133</v>
      </c>
      <c r="B7" s="51"/>
      <c r="C7" s="53">
        <f>ROUND(C6/220,2)</f>
        <v>12.04</v>
      </c>
      <c r="D7" s="51"/>
      <c r="E7" s="53">
        <f>ROUND(E6/220,2)</f>
        <v>8.69</v>
      </c>
      <c r="F7" s="46"/>
      <c r="G7" s="47">
        <f>ROUND(G6/220,2)</f>
        <v>8.69</v>
      </c>
      <c r="H7" s="46"/>
      <c r="I7" s="47">
        <f>ROUND(I6/220,2)</f>
        <v>8.69</v>
      </c>
    </row>
    <row r="8" spans="1:9" x14ac:dyDescent="0.2">
      <c r="A8" s="60" t="s">
        <v>182</v>
      </c>
      <c r="B8" s="54">
        <f>superv44!C37</f>
        <v>0.1943</v>
      </c>
      <c r="C8" s="53">
        <f>ROUND(C7*B8,2)</f>
        <v>2.34</v>
      </c>
      <c r="D8" s="54">
        <f>SUM(vig44ssasoc!C34:C35)</f>
        <v>0.1666</v>
      </c>
      <c r="E8" s="53">
        <f>ROUND(E7*D8,2)</f>
        <v>1.45</v>
      </c>
      <c r="F8" s="48">
        <f>SUM(vig44int!C34:C35)</f>
        <v>0.1666</v>
      </c>
      <c r="G8" s="82">
        <f>ROUND(G7*F8,2)</f>
        <v>1.45</v>
      </c>
      <c r="H8" s="48">
        <f>SUM(vig44int!C34:C35)</f>
        <v>0.1666</v>
      </c>
      <c r="I8" s="82">
        <f>ROUND(I7*H8,2)</f>
        <v>1.45</v>
      </c>
    </row>
    <row r="9" spans="1:9" x14ac:dyDescent="0.2">
      <c r="A9" s="60" t="s">
        <v>130</v>
      </c>
      <c r="B9" s="54">
        <f>superv44!C51</f>
        <v>0.36800000000000005</v>
      </c>
      <c r="C9" s="53">
        <f>ROUND((C7+C8)*B9,2)</f>
        <v>5.29</v>
      </c>
      <c r="D9" s="54">
        <f>vig44ssasoc!C51</f>
        <v>0.36800000000000005</v>
      </c>
      <c r="E9" s="53">
        <f>ROUND((E7+E8)*D9,2)</f>
        <v>3.73</v>
      </c>
      <c r="F9" s="48">
        <f>vig44int!C51</f>
        <v>0.36800000000000005</v>
      </c>
      <c r="G9" s="82">
        <f>ROUND((G7+G8)*F9,2)</f>
        <v>3.73</v>
      </c>
      <c r="H9" s="48">
        <f>vig44int!C51</f>
        <v>0.36800000000000005</v>
      </c>
      <c r="I9" s="82">
        <f>ROUND((I7+I8)*H9,2)</f>
        <v>3.73</v>
      </c>
    </row>
    <row r="10" spans="1:9" x14ac:dyDescent="0.2">
      <c r="A10" s="60" t="s">
        <v>131</v>
      </c>
      <c r="B10" s="54">
        <f>superv44!C143</f>
        <v>0.2391614668856048</v>
      </c>
      <c r="C10" s="53">
        <f>ROUND((C7+C8+C9)*B10,2)</f>
        <v>4.7</v>
      </c>
      <c r="D10" s="54">
        <f>vig44ssasoc!C143</f>
        <v>0.2391614668856048</v>
      </c>
      <c r="E10" s="53">
        <f>ROUND((E7+E8+E9)*D10,2)</f>
        <v>3.32</v>
      </c>
      <c r="F10" s="48">
        <f>vig44int!C143</f>
        <v>0.2391614668856048</v>
      </c>
      <c r="G10" s="82">
        <f>ROUND((G7+G8+G9)*F10,2)</f>
        <v>3.32</v>
      </c>
      <c r="H10" s="48">
        <f>vig44int!C143</f>
        <v>0.2391614668856048</v>
      </c>
      <c r="I10" s="82">
        <f>ROUND((I7+I8+I9)*H10,2)</f>
        <v>3.32</v>
      </c>
    </row>
    <row r="11" spans="1:9" x14ac:dyDescent="0.2">
      <c r="A11" s="60" t="s">
        <v>132</v>
      </c>
      <c r="B11" s="51"/>
      <c r="C11" s="53">
        <f>SUM(C7:C10)</f>
        <v>24.369999999999997</v>
      </c>
      <c r="D11" s="51"/>
      <c r="E11" s="53">
        <f>SUM(E7:E10)</f>
        <v>17.189999999999998</v>
      </c>
      <c r="F11" s="46"/>
      <c r="G11" s="82">
        <f>SUM(G7:G10)</f>
        <v>17.189999999999998</v>
      </c>
      <c r="H11" s="46"/>
      <c r="I11" s="82">
        <f>SUM(I7:I10)</f>
        <v>17.189999999999998</v>
      </c>
    </row>
    <row r="12" spans="1:9" x14ac:dyDescent="0.2">
      <c r="A12" s="60" t="s">
        <v>183</v>
      </c>
      <c r="B12" s="55">
        <v>0.5</v>
      </c>
      <c r="C12" s="56">
        <f>ROUND(C11*(1+B12),2)</f>
        <v>36.56</v>
      </c>
      <c r="D12" s="55">
        <v>0.5</v>
      </c>
      <c r="E12" s="56">
        <f>ROUND(E11*(1+D12),2)</f>
        <v>25.79</v>
      </c>
      <c r="F12" s="49">
        <v>0.5</v>
      </c>
      <c r="G12" s="84">
        <f>ROUND(G11*(1+F12),2)</f>
        <v>25.79</v>
      </c>
      <c r="H12" s="49">
        <v>0.5</v>
      </c>
      <c r="I12" s="84">
        <f>ROUND(I11*(1+H12),2)</f>
        <v>25.79</v>
      </c>
    </row>
    <row r="14" spans="1:9" s="86" customFormat="1" ht="38.25" customHeight="1" x14ac:dyDescent="0.25">
      <c r="A14" s="85" t="s">
        <v>135</v>
      </c>
      <c r="B14" s="114" t="s">
        <v>126</v>
      </c>
      <c r="C14" s="115"/>
      <c r="D14" s="115"/>
      <c r="E14" s="116"/>
      <c r="F14" s="118" t="s">
        <v>191</v>
      </c>
      <c r="G14" s="119"/>
      <c r="H14" s="118" t="s">
        <v>186</v>
      </c>
      <c r="I14" s="119"/>
    </row>
    <row r="15" spans="1:9" ht="80.099999999999994" customHeight="1" x14ac:dyDescent="0.2">
      <c r="A15" s="43" t="s">
        <v>128</v>
      </c>
      <c r="B15" s="120" t="str">
        <f>superv44!A6</f>
        <v>VIGILÂNCIA ARMADA DIURNA - Vigilante Supervisor, com jornada de 44 horas semanais, TRAJE SOCIAL</v>
      </c>
      <c r="C15" s="121"/>
      <c r="D15" s="121" t="str">
        <f>vig44ssasoc!A6</f>
        <v>VIGILÂNCIA ARMADA DIURNA - jornada de 44 horas semanais, TRAJE SOCIAL</v>
      </c>
      <c r="E15" s="121"/>
      <c r="F15" s="117" t="str">
        <f>vig44int!A6</f>
        <v>VIGILÂNCIA ARMADA DIURNA - jornada de 44 horas semanais, FARDAMENTO TÁTICO</v>
      </c>
      <c r="G15" s="117"/>
      <c r="H15" s="117" t="str">
        <f>vig44int!A6</f>
        <v>VIGILÂNCIA ARMADA DIURNA - jornada de 44 horas semanais, FARDAMENTO TÁTICO</v>
      </c>
      <c r="I15" s="117"/>
    </row>
    <row r="16" spans="1:9" x14ac:dyDescent="0.2">
      <c r="A16" s="83" t="s">
        <v>137</v>
      </c>
      <c r="B16" s="51">
        <v>150</v>
      </c>
      <c r="C16" s="56">
        <f>C12*B16</f>
        <v>5484</v>
      </c>
      <c r="D16" s="51">
        <v>300</v>
      </c>
      <c r="E16" s="56">
        <f>E12*D16</f>
        <v>7737</v>
      </c>
      <c r="F16" s="46">
        <f>3*(10+30+30)</f>
        <v>210</v>
      </c>
      <c r="G16" s="57">
        <f>G12*F16</f>
        <v>5415.9</v>
      </c>
      <c r="H16" s="46">
        <f>41*(10+30)</f>
        <v>1640</v>
      </c>
      <c r="I16" s="57">
        <f>I12*H16</f>
        <v>42295.6</v>
      </c>
    </row>
    <row r="18" spans="1:9" s="86" customFormat="1" ht="38.25" customHeight="1" x14ac:dyDescent="0.25">
      <c r="A18" s="85" t="s">
        <v>136</v>
      </c>
      <c r="B18" s="114" t="s">
        <v>126</v>
      </c>
      <c r="C18" s="115"/>
      <c r="D18" s="115"/>
      <c r="E18" s="116"/>
      <c r="F18" s="118" t="s">
        <v>191</v>
      </c>
      <c r="G18" s="119"/>
      <c r="H18" s="118" t="s">
        <v>186</v>
      </c>
      <c r="I18" s="119"/>
    </row>
    <row r="19" spans="1:9" ht="80.099999999999994" customHeight="1" x14ac:dyDescent="0.2">
      <c r="A19" s="43" t="s">
        <v>128</v>
      </c>
      <c r="B19" s="120" t="str">
        <f>superv44!A6</f>
        <v>VIGILÂNCIA ARMADA DIURNA - Vigilante Supervisor, com jornada de 44 horas semanais, TRAJE SOCIAL</v>
      </c>
      <c r="C19" s="121"/>
      <c r="D19" s="121" t="str">
        <f>vig44ssasoc!A6</f>
        <v>VIGILÂNCIA ARMADA DIURNA - jornada de 44 horas semanais, TRAJE SOCIAL</v>
      </c>
      <c r="E19" s="121"/>
      <c r="F19" s="117" t="str">
        <f>vig44int!A6</f>
        <v>VIGILÂNCIA ARMADA DIURNA - jornada de 44 horas semanais, FARDAMENTO TÁTICO</v>
      </c>
      <c r="G19" s="117"/>
      <c r="H19" s="117" t="str">
        <f>vig44int!A6</f>
        <v>VIGILÂNCIA ARMADA DIURNA - jornada de 44 horas semanais, FARDAMENTO TÁTICO</v>
      </c>
      <c r="I19" s="117"/>
    </row>
    <row r="20" spans="1:9" x14ac:dyDescent="0.2">
      <c r="A20" s="44" t="s">
        <v>138</v>
      </c>
      <c r="B20" s="51"/>
      <c r="C20" s="53">
        <v>5.2</v>
      </c>
      <c r="D20" s="51"/>
      <c r="E20" s="53">
        <v>5.2</v>
      </c>
      <c r="F20" s="46"/>
      <c r="G20" s="47">
        <v>3.92</v>
      </c>
      <c r="H20" s="46"/>
      <c r="I20" s="47">
        <v>3.92</v>
      </c>
    </row>
    <row r="21" spans="1:9" x14ac:dyDescent="0.2">
      <c r="A21" s="44" t="s">
        <v>139</v>
      </c>
      <c r="B21" s="51">
        <v>2</v>
      </c>
      <c r="C21" s="53">
        <f>C20*B21</f>
        <v>10.4</v>
      </c>
      <c r="D21" s="51">
        <v>2</v>
      </c>
      <c r="E21" s="53">
        <f>E20*D21</f>
        <v>10.4</v>
      </c>
      <c r="F21" s="46">
        <v>2</v>
      </c>
      <c r="G21" s="47">
        <f>G20*F21</f>
        <v>7.84</v>
      </c>
      <c r="H21" s="46">
        <v>2</v>
      </c>
      <c r="I21" s="47">
        <f>I20*H21</f>
        <v>7.84</v>
      </c>
    </row>
    <row r="22" spans="1:9" x14ac:dyDescent="0.2">
      <c r="A22" s="44" t="s">
        <v>131</v>
      </c>
      <c r="B22" s="54">
        <f>superv44!C143</f>
        <v>0.2391614668856048</v>
      </c>
      <c r="C22" s="53">
        <f>ROUND(C21*B22,2)</f>
        <v>2.4900000000000002</v>
      </c>
      <c r="D22" s="54">
        <f>vig44ssasoc!C143</f>
        <v>0.2391614668856048</v>
      </c>
      <c r="E22" s="53">
        <f>ROUND(E21*D22,2)</f>
        <v>2.4900000000000002</v>
      </c>
      <c r="F22" s="48">
        <f>vig44int!C143</f>
        <v>0.2391614668856048</v>
      </c>
      <c r="G22" s="47">
        <f>ROUND(G21*F22,2)</f>
        <v>1.88</v>
      </c>
      <c r="H22" s="48">
        <f>vig44int!C143</f>
        <v>0.2391614668856048</v>
      </c>
      <c r="I22" s="47">
        <f>ROUND(I21*H22,2)</f>
        <v>1.88</v>
      </c>
    </row>
    <row r="23" spans="1:9" x14ac:dyDescent="0.2">
      <c r="A23" s="44" t="s">
        <v>132</v>
      </c>
      <c r="B23" s="51"/>
      <c r="C23" s="53">
        <f>SUM(C21:C22)</f>
        <v>12.89</v>
      </c>
      <c r="D23" s="51"/>
      <c r="E23" s="53">
        <f>SUM(E21:E22)</f>
        <v>12.89</v>
      </c>
      <c r="F23" s="46"/>
      <c r="G23" s="47">
        <f>SUM(G21:G22)</f>
        <v>9.7199999999999989</v>
      </c>
      <c r="H23" s="46"/>
      <c r="I23" s="47">
        <f>SUM(I21:I22)</f>
        <v>9.7199999999999989</v>
      </c>
    </row>
    <row r="24" spans="1:9" x14ac:dyDescent="0.2">
      <c r="A24" s="44" t="s">
        <v>140</v>
      </c>
      <c r="B24" s="51">
        <v>4</v>
      </c>
      <c r="C24" s="53">
        <f>C23*B24</f>
        <v>51.56</v>
      </c>
      <c r="D24" s="51">
        <v>4</v>
      </c>
      <c r="E24" s="53">
        <f>E23*D24</f>
        <v>51.56</v>
      </c>
      <c r="F24" s="46">
        <v>0</v>
      </c>
      <c r="G24" s="47">
        <f>G23*F24</f>
        <v>0</v>
      </c>
      <c r="H24" s="46">
        <v>0</v>
      </c>
      <c r="I24" s="47">
        <f>I23*H24</f>
        <v>0</v>
      </c>
    </row>
    <row r="25" spans="1:9" x14ac:dyDescent="0.2">
      <c r="A25" s="44" t="s">
        <v>141</v>
      </c>
      <c r="B25" s="51">
        <v>9</v>
      </c>
      <c r="C25" s="53">
        <f>C23*B25</f>
        <v>116.01</v>
      </c>
      <c r="D25" s="51">
        <v>9</v>
      </c>
      <c r="E25" s="53">
        <f>E23*D25</f>
        <v>116.01</v>
      </c>
      <c r="F25" s="46">
        <v>7</v>
      </c>
      <c r="G25" s="47">
        <f>G23*F25</f>
        <v>68.039999999999992</v>
      </c>
      <c r="H25" s="46">
        <v>4</v>
      </c>
      <c r="I25" s="47">
        <f>I23*H25</f>
        <v>38.879999999999995</v>
      </c>
    </row>
    <row r="26" spans="1:9" x14ac:dyDescent="0.2">
      <c r="A26" s="44" t="s">
        <v>146</v>
      </c>
      <c r="B26" s="51"/>
      <c r="C26" s="53">
        <f>SUM(C24:C25)</f>
        <v>167.57</v>
      </c>
      <c r="D26" s="51"/>
      <c r="E26" s="53">
        <f>SUM(E24:E25)</f>
        <v>167.57</v>
      </c>
      <c r="F26" s="46"/>
      <c r="G26" s="47">
        <f>SUM(G24:G25)</f>
        <v>68.039999999999992</v>
      </c>
      <c r="H26" s="46"/>
      <c r="I26" s="47">
        <f>SUM(I24:I25)</f>
        <v>38.879999999999995</v>
      </c>
    </row>
    <row r="27" spans="1:9" x14ac:dyDescent="0.2">
      <c r="A27" s="44" t="s">
        <v>148</v>
      </c>
      <c r="B27" s="51">
        <v>1</v>
      </c>
      <c r="C27" s="56">
        <f>C26*B27</f>
        <v>167.57</v>
      </c>
      <c r="D27" s="51">
        <v>2</v>
      </c>
      <c r="E27" s="56">
        <f>E26*D27</f>
        <v>335.14</v>
      </c>
      <c r="F27" s="46">
        <v>3</v>
      </c>
      <c r="G27" s="57">
        <f>G26*F27</f>
        <v>204.11999999999998</v>
      </c>
      <c r="H27" s="46">
        <v>41</v>
      </c>
      <c r="I27" s="57">
        <f>I26*H27</f>
        <v>1594.08</v>
      </c>
    </row>
    <row r="29" spans="1:9" s="86" customFormat="1" ht="38.25" customHeight="1" x14ac:dyDescent="0.25">
      <c r="A29" s="85" t="s">
        <v>142</v>
      </c>
      <c r="B29" s="114" t="s">
        <v>126</v>
      </c>
      <c r="C29" s="115"/>
      <c r="D29" s="115"/>
      <c r="E29" s="116"/>
      <c r="F29" s="118" t="s">
        <v>191</v>
      </c>
      <c r="G29" s="119"/>
      <c r="H29" s="118" t="s">
        <v>186</v>
      </c>
      <c r="I29" s="119"/>
    </row>
    <row r="30" spans="1:9" ht="80.099999999999994" customHeight="1" x14ac:dyDescent="0.2">
      <c r="A30" s="43" t="s">
        <v>128</v>
      </c>
      <c r="B30" s="121" t="str">
        <f>superv44!A6</f>
        <v>VIGILÂNCIA ARMADA DIURNA - Vigilante Supervisor, com jornada de 44 horas semanais, TRAJE SOCIAL</v>
      </c>
      <c r="C30" s="121"/>
      <c r="D30" s="121" t="str">
        <f>vig44ssasoc!A6</f>
        <v>VIGILÂNCIA ARMADA DIURNA - jornada de 44 horas semanais, TRAJE SOCIAL</v>
      </c>
      <c r="E30" s="121"/>
      <c r="F30" s="117" t="str">
        <f>vig44int!A6</f>
        <v>VIGILÂNCIA ARMADA DIURNA - jornada de 44 horas semanais, FARDAMENTO TÁTICO</v>
      </c>
      <c r="G30" s="117"/>
      <c r="H30" s="117" t="str">
        <f>vig44int!A6</f>
        <v>VIGILÂNCIA ARMADA DIURNA - jornada de 44 horas semanais, FARDAMENTO TÁTICO</v>
      </c>
      <c r="I30" s="117"/>
    </row>
    <row r="31" spans="1:9" x14ac:dyDescent="0.2">
      <c r="A31" s="45" t="s">
        <v>143</v>
      </c>
      <c r="B31" s="51"/>
      <c r="C31" s="53">
        <f>16.59*0.85</f>
        <v>14.1015</v>
      </c>
      <c r="D31" s="51"/>
      <c r="E31" s="53">
        <f>16.59*0.85</f>
        <v>14.1015</v>
      </c>
      <c r="F31" s="46"/>
      <c r="G31" s="47">
        <f>16.59*0.85</f>
        <v>14.1015</v>
      </c>
      <c r="H31" s="46"/>
      <c r="I31" s="47">
        <f>16.59*0.85</f>
        <v>14.1015</v>
      </c>
    </row>
    <row r="32" spans="1:9" x14ac:dyDescent="0.2">
      <c r="A32" s="44" t="s">
        <v>131</v>
      </c>
      <c r="B32" s="54">
        <f>superv44!C143</f>
        <v>0.2391614668856048</v>
      </c>
      <c r="C32" s="53">
        <f>ROUND(C31*B32,2)</f>
        <v>3.37</v>
      </c>
      <c r="D32" s="54">
        <f>vig44ssasoc!C143</f>
        <v>0.2391614668856048</v>
      </c>
      <c r="E32" s="53">
        <f>ROUND(E31*D32,2)</f>
        <v>3.37</v>
      </c>
      <c r="F32" s="48">
        <f>vig44int!C143</f>
        <v>0.2391614668856048</v>
      </c>
      <c r="G32" s="47">
        <f>ROUND(G31*F32,2)</f>
        <v>3.37</v>
      </c>
      <c r="H32" s="48">
        <f>vig44int!C143</f>
        <v>0.2391614668856048</v>
      </c>
      <c r="I32" s="47">
        <f>ROUND(I31*H32,2)</f>
        <v>3.37</v>
      </c>
    </row>
    <row r="33" spans="1:9" x14ac:dyDescent="0.2">
      <c r="A33" s="44" t="s">
        <v>132</v>
      </c>
      <c r="B33" s="51"/>
      <c r="C33" s="53">
        <f>SUM(C31:C32)</f>
        <v>17.471499999999999</v>
      </c>
      <c r="D33" s="51"/>
      <c r="E33" s="53">
        <f>SUM(E31:E32)</f>
        <v>17.471499999999999</v>
      </c>
      <c r="F33" s="46"/>
      <c r="G33" s="47">
        <f>SUM(G31:G32)</f>
        <v>17.471499999999999</v>
      </c>
      <c r="H33" s="46"/>
      <c r="I33" s="47">
        <f>SUM(I31:I32)</f>
        <v>17.471499999999999</v>
      </c>
    </row>
    <row r="34" spans="1:9" x14ac:dyDescent="0.2">
      <c r="A34" s="44" t="s">
        <v>144</v>
      </c>
      <c r="B34" s="51">
        <v>4</v>
      </c>
      <c r="C34" s="53">
        <f>C33*B34</f>
        <v>69.885999999999996</v>
      </c>
      <c r="D34" s="51">
        <v>4</v>
      </c>
      <c r="E34" s="53">
        <f>E33*D34</f>
        <v>69.885999999999996</v>
      </c>
      <c r="F34" s="46">
        <v>0</v>
      </c>
      <c r="G34" s="47">
        <f>G33*F34</f>
        <v>0</v>
      </c>
      <c r="H34" s="46">
        <v>0</v>
      </c>
      <c r="I34" s="47">
        <f>I33*H34</f>
        <v>0</v>
      </c>
    </row>
    <row r="35" spans="1:9" x14ac:dyDescent="0.2">
      <c r="A35" s="44" t="s">
        <v>145</v>
      </c>
      <c r="B35" s="51">
        <v>9</v>
      </c>
      <c r="C35" s="53">
        <f>C33*B35</f>
        <v>157.24349999999998</v>
      </c>
      <c r="D35" s="51">
        <v>9</v>
      </c>
      <c r="E35" s="53">
        <f>E33*D35</f>
        <v>157.24349999999998</v>
      </c>
      <c r="F35" s="46">
        <v>7</v>
      </c>
      <c r="G35" s="47">
        <f>G33*F35</f>
        <v>122.3005</v>
      </c>
      <c r="H35" s="46">
        <v>4</v>
      </c>
      <c r="I35" s="47">
        <f>I33*H35</f>
        <v>69.885999999999996</v>
      </c>
    </row>
    <row r="36" spans="1:9" x14ac:dyDescent="0.2">
      <c r="A36" s="44" t="s">
        <v>147</v>
      </c>
      <c r="B36" s="51"/>
      <c r="C36" s="53">
        <f>SUM(C34:C35)</f>
        <v>227.12949999999998</v>
      </c>
      <c r="D36" s="51"/>
      <c r="E36" s="53">
        <f>SUM(E34:E35)</f>
        <v>227.12949999999998</v>
      </c>
      <c r="F36" s="46"/>
      <c r="G36" s="47">
        <f>SUM(G34:G35)</f>
        <v>122.3005</v>
      </c>
      <c r="H36" s="46"/>
      <c r="I36" s="47">
        <f>SUM(I34:I35)</f>
        <v>69.885999999999996</v>
      </c>
    </row>
    <row r="37" spans="1:9" x14ac:dyDescent="0.2">
      <c r="A37" s="44" t="s">
        <v>149</v>
      </c>
      <c r="B37" s="51">
        <v>1</v>
      </c>
      <c r="C37" s="56">
        <f>C36*B37</f>
        <v>227.12949999999998</v>
      </c>
      <c r="D37" s="51">
        <v>2</v>
      </c>
      <c r="E37" s="56">
        <f>E36*D37</f>
        <v>454.25899999999996</v>
      </c>
      <c r="F37" s="46">
        <v>3</v>
      </c>
      <c r="G37" s="57">
        <f>G36*F37</f>
        <v>366.9015</v>
      </c>
      <c r="H37" s="46">
        <v>41</v>
      </c>
      <c r="I37" s="57">
        <f>I36*H37</f>
        <v>2865.326</v>
      </c>
    </row>
    <row r="39" spans="1:9" x14ac:dyDescent="0.2">
      <c r="A39" s="42" t="s">
        <v>153</v>
      </c>
      <c r="B39" s="122" t="s">
        <v>126</v>
      </c>
      <c r="C39" s="122"/>
      <c r="D39" s="122"/>
      <c r="E39" s="123" t="s">
        <v>134</v>
      </c>
      <c r="F39" s="123"/>
      <c r="G39" s="123"/>
      <c r="H39" s="124" t="s">
        <v>16</v>
      </c>
      <c r="I39" s="124"/>
    </row>
    <row r="40" spans="1:9" x14ac:dyDescent="0.2">
      <c r="A40" s="44" t="s">
        <v>150</v>
      </c>
      <c r="B40" s="125">
        <f>SUM(C16,E16)</f>
        <v>13221</v>
      </c>
      <c r="C40" s="126"/>
      <c r="D40" s="126"/>
      <c r="E40" s="127">
        <f>G16+I16</f>
        <v>47711.5</v>
      </c>
      <c r="F40" s="128"/>
      <c r="G40" s="128"/>
      <c r="H40" s="129">
        <f>SUM(B40:G40)</f>
        <v>60932.5</v>
      </c>
      <c r="I40" s="130"/>
    </row>
    <row r="41" spans="1:9" x14ac:dyDescent="0.2">
      <c r="A41" s="44" t="s">
        <v>151</v>
      </c>
      <c r="B41" s="125">
        <f>SUM(C27,E27)</f>
        <v>502.71</v>
      </c>
      <c r="C41" s="126"/>
      <c r="D41" s="126"/>
      <c r="E41" s="127">
        <f>G27+I27</f>
        <v>1798.1999999999998</v>
      </c>
      <c r="F41" s="128"/>
      <c r="G41" s="128"/>
      <c r="H41" s="129">
        <f t="shared" ref="H41:H42" si="0">SUM(B41:G41)</f>
        <v>2300.91</v>
      </c>
      <c r="I41" s="130"/>
    </row>
    <row r="42" spans="1:9" x14ac:dyDescent="0.2">
      <c r="A42" s="44" t="s">
        <v>152</v>
      </c>
      <c r="B42" s="125">
        <f>SUM(C37,E37)</f>
        <v>681.38849999999991</v>
      </c>
      <c r="C42" s="126"/>
      <c r="D42" s="126"/>
      <c r="E42" s="127">
        <f>G37+I37</f>
        <v>3232.2275</v>
      </c>
      <c r="F42" s="128"/>
      <c r="G42" s="128"/>
      <c r="H42" s="129">
        <f t="shared" si="0"/>
        <v>3913.616</v>
      </c>
      <c r="I42" s="130"/>
    </row>
    <row r="43" spans="1:9" ht="15" customHeight="1" x14ac:dyDescent="0.2">
      <c r="A43" s="58" t="s">
        <v>16</v>
      </c>
      <c r="B43" s="51"/>
      <c r="C43" s="52"/>
      <c r="D43" s="56">
        <f>SUM(B40:D42)</f>
        <v>14405.098499999998</v>
      </c>
      <c r="E43" s="46"/>
      <c r="F43" s="50"/>
      <c r="G43" s="57">
        <f>SUM(E40:G42)</f>
        <v>52741.927499999998</v>
      </c>
      <c r="H43" s="131">
        <f>SUM(H40:I42)</f>
        <v>67147.025999999998</v>
      </c>
      <c r="I43" s="132"/>
    </row>
  </sheetData>
  <mergeCells count="41">
    <mergeCell ref="B42:D42"/>
    <mergeCell ref="E42:G42"/>
    <mergeCell ref="H42:I42"/>
    <mergeCell ref="H43:I43"/>
    <mergeCell ref="B40:D40"/>
    <mergeCell ref="E40:G40"/>
    <mergeCell ref="H40:I40"/>
    <mergeCell ref="B41:D41"/>
    <mergeCell ref="E41:G41"/>
    <mergeCell ref="H41:I41"/>
    <mergeCell ref="H39:I39"/>
    <mergeCell ref="F14:G14"/>
    <mergeCell ref="B5:C5"/>
    <mergeCell ref="D5:E5"/>
    <mergeCell ref="F5:G5"/>
    <mergeCell ref="B30:C30"/>
    <mergeCell ref="D30:E30"/>
    <mergeCell ref="F30:G30"/>
    <mergeCell ref="B15:C15"/>
    <mergeCell ref="F15:G15"/>
    <mergeCell ref="F18:G18"/>
    <mergeCell ref="B18:E18"/>
    <mergeCell ref="F4:G4"/>
    <mergeCell ref="B39:D39"/>
    <mergeCell ref="E39:G39"/>
    <mergeCell ref="B14:E14"/>
    <mergeCell ref="B4:E4"/>
    <mergeCell ref="H19:I19"/>
    <mergeCell ref="H29:I29"/>
    <mergeCell ref="H30:I30"/>
    <mergeCell ref="H4:I4"/>
    <mergeCell ref="H5:I5"/>
    <mergeCell ref="H14:I14"/>
    <mergeCell ref="H15:I15"/>
    <mergeCell ref="H18:I18"/>
    <mergeCell ref="F29:G29"/>
    <mergeCell ref="B19:C19"/>
    <mergeCell ref="D19:E19"/>
    <mergeCell ref="F19:G19"/>
    <mergeCell ref="B29:E29"/>
    <mergeCell ref="D15:E15"/>
  </mergeCells>
  <pageMargins left="0.51181102362204722" right="0.51181102362204722" top="0.78740157480314965" bottom="0.78740157480314965" header="0.31496062992125984" footer="0.31496062992125984"/>
  <pageSetup paperSize="9" scale="88" orientation="landscape" r:id="rId1"/>
  <rowBreaks count="1" manualBreakCount="1">
    <brk id="17"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8:H68"/>
  <sheetViews>
    <sheetView view="pageBreakPreview" topLeftCell="A43" zoomScaleNormal="115" zoomScaleSheetLayoutView="100" workbookViewId="0">
      <selection activeCell="N17" sqref="N17"/>
    </sheetView>
  </sheetViews>
  <sheetFormatPr defaultRowHeight="12.75" x14ac:dyDescent="0.2"/>
  <cols>
    <col min="1" max="1" width="10.7109375" style="1" customWidth="1"/>
    <col min="2" max="2" width="30.7109375" style="1" customWidth="1"/>
    <col min="3" max="3" width="15.7109375" style="1" customWidth="1"/>
    <col min="4" max="4" width="10.7109375" style="1" customWidth="1"/>
    <col min="5" max="5" width="15.7109375" style="1" customWidth="1"/>
    <col min="6" max="6" width="10.7109375" style="1" customWidth="1"/>
    <col min="7" max="8" width="15.7109375" style="1" customWidth="1"/>
    <col min="9" max="16384" width="9.140625" style="1"/>
  </cols>
  <sheetData>
    <row r="8" spans="1:8" ht="15.75" x14ac:dyDescent="0.25">
      <c r="A8" s="137" t="s">
        <v>178</v>
      </c>
      <c r="B8" s="137"/>
      <c r="C8" s="137"/>
      <c r="D8" s="137"/>
      <c r="E8" s="137"/>
      <c r="F8" s="137"/>
      <c r="G8" s="137"/>
      <c r="H8" s="137"/>
    </row>
    <row r="10" spans="1:8" x14ac:dyDescent="0.2">
      <c r="A10" s="134" t="s">
        <v>162</v>
      </c>
      <c r="B10" s="134"/>
      <c r="C10" s="134"/>
      <c r="D10" s="134"/>
      <c r="E10" s="134"/>
      <c r="F10" s="134"/>
      <c r="G10" s="134"/>
      <c r="H10" s="134"/>
    </row>
    <row r="11" spans="1:8" s="40" customFormat="1" ht="25.5" x14ac:dyDescent="0.25">
      <c r="A11" s="76" t="s">
        <v>154</v>
      </c>
      <c r="B11" s="76" t="s">
        <v>155</v>
      </c>
      <c r="C11" s="76" t="s">
        <v>156</v>
      </c>
      <c r="D11" s="76" t="s">
        <v>157</v>
      </c>
      <c r="E11" s="76" t="s">
        <v>158</v>
      </c>
      <c r="F11" s="76" t="s">
        <v>159</v>
      </c>
      <c r="G11" s="76" t="s">
        <v>160</v>
      </c>
      <c r="H11" s="76" t="s">
        <v>161</v>
      </c>
    </row>
    <row r="12" spans="1:8" ht="38.25" x14ac:dyDescent="0.2">
      <c r="A12" s="73">
        <v>1</v>
      </c>
      <c r="B12" s="73" t="str">
        <f>superv44!A6</f>
        <v>VIGILÂNCIA ARMADA DIURNA - Vigilante Supervisor, com jornada de 44 horas semanais, TRAJE SOCIAL</v>
      </c>
      <c r="C12" s="74">
        <f>superv44!D156</f>
        <v>7201.1749475421639</v>
      </c>
      <c r="D12" s="73">
        <v>1</v>
      </c>
      <c r="E12" s="74">
        <f>C12*D12</f>
        <v>7201.1749475421639</v>
      </c>
      <c r="F12" s="73">
        <f>superv44!D6</f>
        <v>1</v>
      </c>
      <c r="G12" s="74">
        <f>E12*F12</f>
        <v>7201.1749475421639</v>
      </c>
      <c r="H12" s="74">
        <f>G12*12</f>
        <v>86414.099370505966</v>
      </c>
    </row>
    <row r="13" spans="1:8" ht="38.25" x14ac:dyDescent="0.2">
      <c r="A13" s="73">
        <v>2</v>
      </c>
      <c r="B13" s="73" t="str">
        <f>fiscal1236d!A6</f>
        <v>VIGILÂNCIA ARMADA DIURNA - Vigilante Fiscal, 12:00h x 36:00h, TRAJE SOCIAL</v>
      </c>
      <c r="C13" s="74">
        <f>fiscal1236d!D156</f>
        <v>6526.9263341916812</v>
      </c>
      <c r="D13" s="73">
        <v>2</v>
      </c>
      <c r="E13" s="74">
        <f>C13*D13</f>
        <v>13053.852668383362</v>
      </c>
      <c r="F13" s="73">
        <f>fiscal1236d!D6</f>
        <v>1</v>
      </c>
      <c r="G13" s="74">
        <f t="shared" ref="G13:G17" si="0">E13*F13</f>
        <v>13053.852668383362</v>
      </c>
      <c r="H13" s="74">
        <f t="shared" ref="H13:H17" si="1">G13*12</f>
        <v>156646.23202060035</v>
      </c>
    </row>
    <row r="14" spans="1:8" ht="38.25" x14ac:dyDescent="0.2">
      <c r="A14" s="73">
        <v>3</v>
      </c>
      <c r="B14" s="73" t="str">
        <f>fiscal1236n!A6</f>
        <v>VIGILÂNCIA ARMADA NOTURNA - Vigilante Fiscal, 12:00h x 36:00h, TRAJE SOCIAL</v>
      </c>
      <c r="C14" s="74">
        <f>fiscal1236n!D156</f>
        <v>7645.3732082800916</v>
      </c>
      <c r="D14" s="73">
        <v>2</v>
      </c>
      <c r="E14" s="74">
        <f t="shared" ref="E14:E17" si="2">C14*D14</f>
        <v>15290.746416560183</v>
      </c>
      <c r="F14" s="73">
        <f>fiscal1236n!D6</f>
        <v>1</v>
      </c>
      <c r="G14" s="74">
        <f t="shared" si="0"/>
        <v>15290.746416560183</v>
      </c>
      <c r="H14" s="74">
        <f t="shared" si="1"/>
        <v>183488.95699872219</v>
      </c>
    </row>
    <row r="15" spans="1:8" ht="38.25" x14ac:dyDescent="0.2">
      <c r="A15" s="73">
        <v>4</v>
      </c>
      <c r="B15" s="73" t="str">
        <f>vig44ssasoc!A6</f>
        <v>VIGILÂNCIA ARMADA DIURNA - jornada de 44 horas semanais, TRAJE SOCIAL</v>
      </c>
      <c r="C15" s="74">
        <f>vig44ssasoc!D156</f>
        <v>5642.3841718880858</v>
      </c>
      <c r="D15" s="73">
        <v>1</v>
      </c>
      <c r="E15" s="74">
        <f t="shared" si="2"/>
        <v>5642.3841718880858</v>
      </c>
      <c r="F15" s="73">
        <f>vig44ssasoc!D6</f>
        <v>2</v>
      </c>
      <c r="G15" s="74">
        <f t="shared" si="0"/>
        <v>11284.768343776172</v>
      </c>
      <c r="H15" s="74">
        <f t="shared" si="1"/>
        <v>135417.22012531405</v>
      </c>
    </row>
    <row r="16" spans="1:8" ht="38.25" x14ac:dyDescent="0.2">
      <c r="A16" s="73">
        <v>5</v>
      </c>
      <c r="B16" s="73" t="str">
        <f>vig1236dssa!A6</f>
        <v>VIGILÂNCIA ARMADA DIURNA - 12:00h x 36:00h, FARDAMENTO TÁTICO</v>
      </c>
      <c r="C16" s="74">
        <f>vig1236dssa!D156</f>
        <v>5497.7444953542417</v>
      </c>
      <c r="D16" s="73">
        <v>2</v>
      </c>
      <c r="E16" s="74">
        <f t="shared" si="2"/>
        <v>10995.488990708483</v>
      </c>
      <c r="F16" s="73">
        <f>vig1236dssa!D6</f>
        <v>8</v>
      </c>
      <c r="G16" s="74">
        <f t="shared" si="0"/>
        <v>87963.911925667868</v>
      </c>
      <c r="H16" s="74">
        <f t="shared" si="1"/>
        <v>1055566.9431080143</v>
      </c>
    </row>
    <row r="17" spans="1:8" ht="38.25" x14ac:dyDescent="0.2">
      <c r="A17" s="73">
        <v>6</v>
      </c>
      <c r="B17" s="73" t="str">
        <f>vig1236nssa!A6</f>
        <v>VIGILÂNCIA ARMADA NOTURNA - 12:00h x 36:00h, FARDAMENTO TÁTICO</v>
      </c>
      <c r="C17" s="74">
        <f>vig1236nssa!D156</f>
        <v>6599.6733470890676</v>
      </c>
      <c r="D17" s="73">
        <v>2</v>
      </c>
      <c r="E17" s="74">
        <f t="shared" si="2"/>
        <v>13199.346694178135</v>
      </c>
      <c r="F17" s="73">
        <f>vig1236nssa!D6</f>
        <v>6</v>
      </c>
      <c r="G17" s="74">
        <f t="shared" si="0"/>
        <v>79196.080165068808</v>
      </c>
      <c r="H17" s="74">
        <f t="shared" si="1"/>
        <v>950352.96198082576</v>
      </c>
    </row>
    <row r="18" spans="1:8" x14ac:dyDescent="0.2">
      <c r="A18" s="117" t="s">
        <v>16</v>
      </c>
      <c r="B18" s="117"/>
      <c r="C18" s="117"/>
      <c r="D18" s="117"/>
      <c r="E18" s="117"/>
      <c r="F18" s="117"/>
      <c r="G18" s="117"/>
      <c r="H18" s="74">
        <f>SUM(H12:H17)</f>
        <v>2567886.4136039829</v>
      </c>
    </row>
    <row r="19" spans="1:8" x14ac:dyDescent="0.2">
      <c r="A19" s="40"/>
      <c r="B19" s="40"/>
      <c r="C19" s="40"/>
      <c r="D19" s="40"/>
      <c r="E19" s="40"/>
      <c r="F19" s="40"/>
      <c r="G19" s="40"/>
      <c r="H19" s="40"/>
    </row>
    <row r="20" spans="1:8" ht="52.5" customHeight="1" x14ac:dyDescent="0.2">
      <c r="A20" s="135" t="s">
        <v>210</v>
      </c>
      <c r="B20" s="135"/>
      <c r="C20" s="135"/>
      <c r="D20" s="135"/>
      <c r="E20" s="135"/>
      <c r="F20" s="135"/>
      <c r="G20" s="135"/>
      <c r="H20" s="135"/>
    </row>
    <row r="21" spans="1:8" ht="25.5" x14ac:dyDescent="0.2">
      <c r="A21" s="76" t="s">
        <v>154</v>
      </c>
      <c r="B21" s="76" t="s">
        <v>155</v>
      </c>
      <c r="C21" s="76" t="s">
        <v>156</v>
      </c>
      <c r="D21" s="76" t="s">
        <v>157</v>
      </c>
      <c r="E21" s="76" t="s">
        <v>158</v>
      </c>
      <c r="F21" s="76" t="s">
        <v>159</v>
      </c>
      <c r="G21" s="76" t="s">
        <v>160</v>
      </c>
      <c r="H21" s="76" t="s">
        <v>161</v>
      </c>
    </row>
    <row r="22" spans="1:8" ht="38.25" x14ac:dyDescent="0.2">
      <c r="A22" s="73">
        <v>7</v>
      </c>
      <c r="B22" s="73" t="str">
        <f>vig44int!A6</f>
        <v>VIGILÂNCIA ARMADA DIURNA - jornada de 44 horas semanais, FARDAMENTO TÁTICO</v>
      </c>
      <c r="C22" s="74">
        <f>vig44int!D156</f>
        <v>5628.27012278026</v>
      </c>
      <c r="D22" s="73">
        <v>1</v>
      </c>
      <c r="E22" s="74">
        <f>C22*D22</f>
        <v>5628.27012278026</v>
      </c>
      <c r="F22" s="73">
        <f>vig44int!D6</f>
        <v>43</v>
      </c>
      <c r="G22" s="74">
        <f>E22*F22</f>
        <v>242015.61527955119</v>
      </c>
      <c r="H22" s="74">
        <f>G22*12</f>
        <v>2904187.3833546145</v>
      </c>
    </row>
    <row r="23" spans="1:8" x14ac:dyDescent="0.2">
      <c r="A23" s="135" t="s">
        <v>184</v>
      </c>
      <c r="B23" s="135"/>
      <c r="C23" s="135"/>
      <c r="D23" s="135"/>
      <c r="E23" s="135"/>
      <c r="F23" s="135"/>
      <c r="G23" s="135"/>
      <c r="H23" s="135"/>
    </row>
    <row r="24" spans="1:8" ht="25.5" x14ac:dyDescent="0.2">
      <c r="A24" s="76" t="s">
        <v>154</v>
      </c>
      <c r="B24" s="76" t="s">
        <v>155</v>
      </c>
      <c r="C24" s="76" t="s">
        <v>156</v>
      </c>
      <c r="D24" s="76" t="s">
        <v>157</v>
      </c>
      <c r="E24" s="76" t="s">
        <v>158</v>
      </c>
      <c r="F24" s="76" t="s">
        <v>159</v>
      </c>
      <c r="G24" s="76" t="s">
        <v>160</v>
      </c>
      <c r="H24" s="76" t="s">
        <v>161</v>
      </c>
    </row>
    <row r="25" spans="1:8" ht="38.25" x14ac:dyDescent="0.2">
      <c r="A25" s="73">
        <v>8</v>
      </c>
      <c r="B25" s="73" t="str">
        <f>vig1236nint!A6</f>
        <v>VIGILÂNCIA ARMADA NOTURNA - 12:00h x 36:00h, FARDAMENTO TÁTICO</v>
      </c>
      <c r="C25" s="74">
        <f>vig1236nint!D156</f>
        <v>6551.160175660496</v>
      </c>
      <c r="D25" s="73">
        <v>2</v>
      </c>
      <c r="E25" s="74">
        <f>C25*D25</f>
        <v>13102.320351320992</v>
      </c>
      <c r="F25" s="73">
        <f>vig1236nint!D6</f>
        <v>6</v>
      </c>
      <c r="G25" s="74">
        <f t="shared" ref="G25:G28" si="3">E25*F25</f>
        <v>78613.922107925959</v>
      </c>
      <c r="H25" s="74">
        <f t="shared" ref="H25:H28" si="4">G25*12</f>
        <v>943367.0652951115</v>
      </c>
    </row>
    <row r="26" spans="1:8" x14ac:dyDescent="0.2">
      <c r="A26" s="135" t="s">
        <v>185</v>
      </c>
      <c r="B26" s="135"/>
      <c r="C26" s="135"/>
      <c r="D26" s="135"/>
      <c r="E26" s="135"/>
      <c r="F26" s="135"/>
      <c r="G26" s="135"/>
      <c r="H26" s="135"/>
    </row>
    <row r="27" spans="1:8" ht="25.5" x14ac:dyDescent="0.2">
      <c r="A27" s="76" t="s">
        <v>154</v>
      </c>
      <c r="B27" s="76" t="s">
        <v>155</v>
      </c>
      <c r="C27" s="76" t="s">
        <v>156</v>
      </c>
      <c r="D27" s="76" t="s">
        <v>157</v>
      </c>
      <c r="E27" s="76" t="s">
        <v>158</v>
      </c>
      <c r="F27" s="76" t="s">
        <v>159</v>
      </c>
      <c r="G27" s="76" t="s">
        <v>160</v>
      </c>
      <c r="H27" s="76" t="s">
        <v>161</v>
      </c>
    </row>
    <row r="28" spans="1:8" ht="38.25" x14ac:dyDescent="0.2">
      <c r="A28" s="73">
        <v>9</v>
      </c>
      <c r="B28" s="73" t="str">
        <f>vig1236dint!A6</f>
        <v>VIGILÂNCIA ARMADA DIURNA - 12:00h x 36:00h, FARDAMENTO TÁTICO</v>
      </c>
      <c r="C28" s="74">
        <f>vig1236dint!D156</f>
        <v>5449.2313239256709</v>
      </c>
      <c r="D28" s="73">
        <v>2</v>
      </c>
      <c r="E28" s="74">
        <f t="shared" ref="E28" si="5">C28*D28</f>
        <v>10898.462647851342</v>
      </c>
      <c r="F28" s="73">
        <f>vig1236dint!D6</f>
        <v>5</v>
      </c>
      <c r="G28" s="74">
        <f t="shared" si="3"/>
        <v>54492.313239256706</v>
      </c>
      <c r="H28" s="74">
        <f t="shared" si="4"/>
        <v>653907.75887108047</v>
      </c>
    </row>
    <row r="29" spans="1:8" x14ac:dyDescent="0.2">
      <c r="A29" s="117" t="s">
        <v>16</v>
      </c>
      <c r="B29" s="117"/>
      <c r="C29" s="117"/>
      <c r="D29" s="117"/>
      <c r="E29" s="117"/>
      <c r="F29" s="117"/>
      <c r="G29" s="117"/>
      <c r="H29" s="74">
        <f>SUM(H22,H25,H28)</f>
        <v>4501462.2075208062</v>
      </c>
    </row>
    <row r="30" spans="1:8" x14ac:dyDescent="0.2">
      <c r="A30" s="40"/>
      <c r="B30" s="40"/>
      <c r="C30" s="40"/>
      <c r="D30" s="40"/>
      <c r="E30" s="40"/>
      <c r="F30" s="40"/>
      <c r="G30" s="40"/>
      <c r="H30" s="40"/>
    </row>
    <row r="31" spans="1:8" x14ac:dyDescent="0.2">
      <c r="A31" s="136" t="s">
        <v>163</v>
      </c>
      <c r="B31" s="136"/>
      <c r="C31" s="136"/>
      <c r="D31" s="136"/>
      <c r="E31" s="136"/>
      <c r="F31" s="136"/>
      <c r="G31" s="136"/>
      <c r="H31" s="136"/>
    </row>
    <row r="32" spans="1:8" ht="25.5" x14ac:dyDescent="0.2">
      <c r="A32" s="76" t="s">
        <v>154</v>
      </c>
      <c r="B32" s="76" t="s">
        <v>155</v>
      </c>
      <c r="C32" s="76" t="s">
        <v>156</v>
      </c>
      <c r="D32" s="76" t="s">
        <v>157</v>
      </c>
      <c r="E32" s="76" t="s">
        <v>158</v>
      </c>
      <c r="F32" s="76" t="s">
        <v>159</v>
      </c>
      <c r="G32" s="76" t="s">
        <v>160</v>
      </c>
      <c r="H32" s="76" t="s">
        <v>164</v>
      </c>
    </row>
    <row r="33" spans="1:8" ht="51" x14ac:dyDescent="0.2">
      <c r="A33" s="73">
        <v>10</v>
      </c>
      <c r="B33" s="73" t="str">
        <f>vig44ssatat_ad!A6</f>
        <v>VIGILÂNCIA ARMADA DIURNA - jornada de 44 horas semanais, FARDAMENTO TÁTICO - postos adicionais, Capital</v>
      </c>
      <c r="C33" s="74">
        <f>vig44ssatat_ad!D156</f>
        <v>5617.2994132600988</v>
      </c>
      <c r="D33" s="73">
        <v>1</v>
      </c>
      <c r="E33" s="74">
        <f t="shared" ref="E33" si="6">C33*D33</f>
        <v>5617.2994132600988</v>
      </c>
      <c r="F33" s="73">
        <v>4</v>
      </c>
      <c r="G33" s="74">
        <f t="shared" ref="G33" si="7">E33*F33</f>
        <v>22469.197653040395</v>
      </c>
      <c r="H33" s="74">
        <f>((G33*12)*(10/365))</f>
        <v>7387.1334749721846</v>
      </c>
    </row>
    <row r="34" spans="1:8" x14ac:dyDescent="0.2">
      <c r="A34" s="40"/>
      <c r="B34" s="40"/>
      <c r="C34" s="40"/>
      <c r="D34" s="40"/>
      <c r="E34" s="40"/>
      <c r="F34" s="40"/>
      <c r="G34" s="40"/>
      <c r="H34" s="61"/>
    </row>
    <row r="35" spans="1:8" x14ac:dyDescent="0.2">
      <c r="A35" s="136" t="s">
        <v>165</v>
      </c>
      <c r="B35" s="136"/>
      <c r="C35" s="136"/>
      <c r="D35" s="136"/>
      <c r="E35" s="136"/>
      <c r="F35" s="136"/>
      <c r="G35" s="136"/>
      <c r="H35" s="136"/>
    </row>
    <row r="36" spans="1:8" ht="25.5" x14ac:dyDescent="0.2">
      <c r="A36" s="76" t="s">
        <v>154</v>
      </c>
      <c r="B36" s="76" t="s">
        <v>155</v>
      </c>
      <c r="C36" s="76" t="s">
        <v>156</v>
      </c>
      <c r="D36" s="76" t="s">
        <v>157</v>
      </c>
      <c r="E36" s="76" t="s">
        <v>158</v>
      </c>
      <c r="F36" s="76" t="s">
        <v>159</v>
      </c>
      <c r="G36" s="76" t="s">
        <v>160</v>
      </c>
      <c r="H36" s="76" t="s">
        <v>166</v>
      </c>
    </row>
    <row r="37" spans="1:8" ht="51" x14ac:dyDescent="0.2">
      <c r="A37" s="73">
        <v>11</v>
      </c>
      <c r="B37" s="73" t="str">
        <f>vig44ssatat_ad!A6</f>
        <v>VIGILÂNCIA ARMADA DIURNA - jornada de 44 horas semanais, FARDAMENTO TÁTICO - postos adicionais, Capital</v>
      </c>
      <c r="C37" s="74">
        <f>vig44ssatat_ad!D156</f>
        <v>5617.2994132600988</v>
      </c>
      <c r="D37" s="73">
        <v>1</v>
      </c>
      <c r="E37" s="74">
        <f t="shared" ref="E37" si="8">C37*D37</f>
        <v>5617.2994132600988</v>
      </c>
      <c r="F37" s="73">
        <v>6</v>
      </c>
      <c r="G37" s="74">
        <f t="shared" ref="G37" si="9">E37*F37</f>
        <v>33703.796479560595</v>
      </c>
      <c r="H37" s="74">
        <f>((G37*12)*(53/365))</f>
        <v>58727.711126028866</v>
      </c>
    </row>
    <row r="38" spans="1:8" x14ac:dyDescent="0.2">
      <c r="A38" s="40"/>
      <c r="B38" s="40"/>
      <c r="C38" s="40"/>
      <c r="D38" s="40"/>
      <c r="E38" s="40"/>
      <c r="F38" s="40"/>
      <c r="G38" s="40"/>
      <c r="H38" s="40"/>
    </row>
    <row r="39" spans="1:8" x14ac:dyDescent="0.2">
      <c r="A39" s="136" t="s">
        <v>167</v>
      </c>
      <c r="B39" s="136"/>
      <c r="C39" s="136"/>
      <c r="D39" s="136"/>
      <c r="E39" s="136"/>
      <c r="F39" s="136"/>
      <c r="G39" s="136"/>
      <c r="H39" s="136"/>
    </row>
    <row r="40" spans="1:8" ht="25.5" x14ac:dyDescent="0.2">
      <c r="A40" s="76" t="s">
        <v>154</v>
      </c>
      <c r="B40" s="76" t="s">
        <v>155</v>
      </c>
      <c r="C40" s="76" t="s">
        <v>156</v>
      </c>
      <c r="D40" s="76" t="s">
        <v>157</v>
      </c>
      <c r="E40" s="76" t="s">
        <v>158</v>
      </c>
      <c r="F40" s="76" t="s">
        <v>159</v>
      </c>
      <c r="G40" s="76" t="s">
        <v>160</v>
      </c>
      <c r="H40" s="76" t="s">
        <v>164</v>
      </c>
    </row>
    <row r="41" spans="1:8" ht="51" x14ac:dyDescent="0.2">
      <c r="A41" s="73">
        <v>12</v>
      </c>
      <c r="B41" s="73" t="str">
        <f>vig44int_ad!A6</f>
        <v>VIGILÂNCIA ARMADA DIURNA - jornada de 44 horas semanais, FARDAMENTO TÁTICO - postos adicionais, Interior</v>
      </c>
      <c r="C41" s="74">
        <f>vig44int_ad!D156</f>
        <v>5547.1256993903671</v>
      </c>
      <c r="D41" s="73">
        <v>1</v>
      </c>
      <c r="E41" s="74">
        <f t="shared" ref="E41" si="10">C41*D41</f>
        <v>5547.1256993903671</v>
      </c>
      <c r="F41" s="73">
        <v>44</v>
      </c>
      <c r="G41" s="74">
        <f t="shared" ref="G41" si="11">E41*F41</f>
        <v>244073.53077317614</v>
      </c>
      <c r="H41" s="74">
        <f>((G41*12)*(10/365))</f>
        <v>80243.352582962019</v>
      </c>
    </row>
    <row r="42" spans="1:8" x14ac:dyDescent="0.2">
      <c r="A42" s="40"/>
      <c r="B42" s="40"/>
      <c r="C42" s="40"/>
      <c r="D42" s="40"/>
      <c r="E42" s="40"/>
      <c r="F42" s="40"/>
      <c r="G42" s="40"/>
      <c r="H42" s="40"/>
    </row>
    <row r="43" spans="1:8" x14ac:dyDescent="0.2">
      <c r="A43" s="136" t="s">
        <v>188</v>
      </c>
      <c r="B43" s="136"/>
      <c r="C43" s="136"/>
      <c r="D43" s="136"/>
      <c r="E43" s="136"/>
      <c r="F43" s="136"/>
      <c r="G43" s="136"/>
      <c r="H43" s="136"/>
    </row>
    <row r="44" spans="1:8" ht="25.5" x14ac:dyDescent="0.2">
      <c r="A44" s="76" t="s">
        <v>154</v>
      </c>
      <c r="B44" s="76" t="s">
        <v>155</v>
      </c>
      <c r="C44" s="76" t="s">
        <v>156</v>
      </c>
      <c r="D44" s="76" t="s">
        <v>157</v>
      </c>
      <c r="E44" s="76" t="s">
        <v>158</v>
      </c>
      <c r="F44" s="76" t="s">
        <v>159</v>
      </c>
      <c r="G44" s="76" t="s">
        <v>160</v>
      </c>
      <c r="H44" s="76" t="s">
        <v>187</v>
      </c>
    </row>
    <row r="45" spans="1:8" ht="51" x14ac:dyDescent="0.2">
      <c r="A45" s="87">
        <v>13</v>
      </c>
      <c r="B45" s="87" t="str">
        <f>vig44int_ad!A6</f>
        <v>VIGILÂNCIA ARMADA DIURNA - jornada de 44 horas semanais, FARDAMENTO TÁTICO - postos adicionais, Interior</v>
      </c>
      <c r="C45" s="74">
        <f>vig44int_ad!D156</f>
        <v>5547.1256993903671</v>
      </c>
      <c r="D45" s="87">
        <v>1</v>
      </c>
      <c r="E45" s="74">
        <f t="shared" ref="E45" si="12">C45*D45</f>
        <v>5547.1256993903671</v>
      </c>
      <c r="F45" s="87">
        <v>44</v>
      </c>
      <c r="G45" s="74">
        <f t="shared" ref="G45" si="13">E45*F45</f>
        <v>244073.53077317614</v>
      </c>
      <c r="H45" s="74">
        <f>((G45*12)*(51/365))</f>
        <v>409241.09817310632</v>
      </c>
    </row>
    <row r="46" spans="1:8" x14ac:dyDescent="0.2">
      <c r="A46" s="40"/>
      <c r="B46" s="40"/>
      <c r="C46" s="40"/>
      <c r="D46" s="40"/>
      <c r="E46" s="40"/>
      <c r="F46" s="40"/>
      <c r="G46" s="40"/>
      <c r="H46" s="40"/>
    </row>
    <row r="47" spans="1:8" x14ac:dyDescent="0.2">
      <c r="A47" s="136" t="s">
        <v>192</v>
      </c>
      <c r="B47" s="136"/>
      <c r="C47" s="136"/>
      <c r="D47" s="136"/>
      <c r="E47" s="136"/>
      <c r="F47" s="136"/>
      <c r="G47" s="136"/>
      <c r="H47" s="136"/>
    </row>
    <row r="48" spans="1:8" ht="25.5" x14ac:dyDescent="0.2">
      <c r="A48" s="76" t="s">
        <v>154</v>
      </c>
      <c r="B48" s="76" t="s">
        <v>155</v>
      </c>
      <c r="C48" s="76" t="s">
        <v>156</v>
      </c>
      <c r="D48" s="76" t="s">
        <v>157</v>
      </c>
      <c r="E48" s="76" t="s">
        <v>158</v>
      </c>
      <c r="F48" s="76" t="s">
        <v>159</v>
      </c>
      <c r="G48" s="76" t="s">
        <v>160</v>
      </c>
      <c r="H48" s="76" t="s">
        <v>193</v>
      </c>
    </row>
    <row r="49" spans="1:8" ht="51" x14ac:dyDescent="0.2">
      <c r="A49" s="73">
        <v>14</v>
      </c>
      <c r="B49" s="73" t="str">
        <f>vig44int_ad!A6</f>
        <v>VIGILÂNCIA ARMADA DIURNA - jornada de 44 horas semanais, FARDAMENTO TÁTICO - postos adicionais, Interior</v>
      </c>
      <c r="C49" s="74">
        <f>vig44int_ad!D156</f>
        <v>5547.1256993903671</v>
      </c>
      <c r="D49" s="73">
        <v>1</v>
      </c>
      <c r="E49" s="74">
        <f t="shared" ref="E49" si="14">C49*D49</f>
        <v>5547.1256993903671</v>
      </c>
      <c r="F49" s="73">
        <v>3</v>
      </c>
      <c r="G49" s="74">
        <f t="shared" ref="G49" si="15">E49*F49</f>
        <v>16641.377098171102</v>
      </c>
      <c r="H49" s="74">
        <f>((G49*12)*(21/365))</f>
        <v>11489.3891198332</v>
      </c>
    </row>
    <row r="50" spans="1:8" x14ac:dyDescent="0.2">
      <c r="A50" s="40"/>
      <c r="B50" s="40"/>
      <c r="C50" s="40"/>
      <c r="D50" s="40"/>
      <c r="E50" s="40"/>
      <c r="F50" s="40"/>
      <c r="G50" s="40"/>
      <c r="H50" s="40"/>
    </row>
    <row r="51" spans="1:8" ht="24.95" customHeight="1" x14ac:dyDescent="0.2">
      <c r="A51" s="136" t="s">
        <v>189</v>
      </c>
      <c r="B51" s="136"/>
      <c r="C51" s="136"/>
      <c r="D51" s="136"/>
      <c r="E51" s="136"/>
      <c r="F51" s="136"/>
      <c r="G51" s="136"/>
      <c r="H51" s="136"/>
    </row>
    <row r="52" spans="1:8" ht="25.5" x14ac:dyDescent="0.2">
      <c r="A52" s="76" t="s">
        <v>154</v>
      </c>
      <c r="B52" s="76" t="s">
        <v>155</v>
      </c>
      <c r="C52" s="76" t="s">
        <v>156</v>
      </c>
      <c r="D52" s="76" t="s">
        <v>157</v>
      </c>
      <c r="E52" s="76" t="s">
        <v>158</v>
      </c>
      <c r="F52" s="76" t="s">
        <v>159</v>
      </c>
      <c r="G52" s="76" t="s">
        <v>160</v>
      </c>
      <c r="H52" s="76" t="s">
        <v>190</v>
      </c>
    </row>
    <row r="53" spans="1:8" ht="38.25" x14ac:dyDescent="0.2">
      <c r="A53" s="73">
        <v>15</v>
      </c>
      <c r="B53" s="73" t="str">
        <f>vig1236dint_ad!A6</f>
        <v>VIGILÂNCIA ARMADA DIURNA - 12:00h x 36:00h, FARDAMENTO TÁTICO - postos adicionais, Interior</v>
      </c>
      <c r="C53" s="74">
        <f>vig1236dint_ad!D156</f>
        <v>5355.7613744784894</v>
      </c>
      <c r="D53" s="73">
        <v>2</v>
      </c>
      <c r="E53" s="74">
        <f t="shared" ref="E53" si="16">C53*D53</f>
        <v>10711.522748956979</v>
      </c>
      <c r="F53" s="73">
        <v>6</v>
      </c>
      <c r="G53" s="74">
        <f t="shared" ref="G53" si="17">E53*F53</f>
        <v>64269.136493741869</v>
      </c>
      <c r="H53" s="74">
        <f>((G53*12)*(91/365))</f>
        <v>192279.17000319483</v>
      </c>
    </row>
    <row r="54" spans="1:8" ht="38.25" x14ac:dyDescent="0.2">
      <c r="A54" s="73">
        <v>16</v>
      </c>
      <c r="B54" s="73" t="str">
        <f>vig1236nint_ad!A6</f>
        <v>VIGILÂNCIA ARMADA NOTURNA - 12:00h x 36:00h, FARDAMENTO TÁTICO - postos adicionais, Interior</v>
      </c>
      <c r="C54" s="74">
        <f>vig1236nint_ad!D156</f>
        <v>6452.1016079976616</v>
      </c>
      <c r="D54" s="73">
        <v>2</v>
      </c>
      <c r="E54" s="74">
        <f t="shared" ref="E54" si="18">C54*D54</f>
        <v>12904.203215995323</v>
      </c>
      <c r="F54" s="73">
        <v>6</v>
      </c>
      <c r="G54" s="74">
        <f t="shared" ref="G54" si="19">E54*F54</f>
        <v>77425.21929597194</v>
      </c>
      <c r="H54" s="74">
        <f>((G54*12)*(91/365))</f>
        <v>231639.28622246947</v>
      </c>
    </row>
    <row r="55" spans="1:8" x14ac:dyDescent="0.2">
      <c r="A55" s="117" t="s">
        <v>16</v>
      </c>
      <c r="B55" s="117"/>
      <c r="C55" s="117"/>
      <c r="D55" s="117"/>
      <c r="E55" s="117"/>
      <c r="F55" s="117"/>
      <c r="G55" s="117"/>
      <c r="H55" s="74">
        <f>SUM(H53:H54)</f>
        <v>423918.4562256643</v>
      </c>
    </row>
    <row r="56" spans="1:8" x14ac:dyDescent="0.2">
      <c r="A56" s="40"/>
      <c r="B56" s="40"/>
      <c r="C56" s="40"/>
      <c r="D56" s="40"/>
      <c r="E56" s="40"/>
      <c r="F56" s="40"/>
      <c r="G56" s="40"/>
      <c r="H56" s="40"/>
    </row>
    <row r="57" spans="1:8" x14ac:dyDescent="0.2">
      <c r="A57" s="141" t="s">
        <v>168</v>
      </c>
      <c r="B57" s="142"/>
      <c r="C57" s="142"/>
      <c r="D57" s="142"/>
      <c r="E57" s="142"/>
      <c r="F57" s="142"/>
      <c r="G57" s="142"/>
      <c r="H57" s="142"/>
    </row>
    <row r="58" spans="1:8" x14ac:dyDescent="0.2">
      <c r="A58" s="124" t="s">
        <v>169</v>
      </c>
      <c r="B58" s="124"/>
      <c r="C58" s="124"/>
      <c r="D58" s="124" t="s">
        <v>135</v>
      </c>
      <c r="E58" s="124"/>
      <c r="F58" s="124"/>
      <c r="G58" s="124"/>
      <c r="H58" s="139" t="s">
        <v>177</v>
      </c>
    </row>
    <row r="59" spans="1:8" x14ac:dyDescent="0.2">
      <c r="A59" s="44" t="s">
        <v>126</v>
      </c>
      <c r="B59" s="44" t="s">
        <v>170</v>
      </c>
      <c r="C59" s="62">
        <f>H18</f>
        <v>2567886.4136039829</v>
      </c>
      <c r="D59" s="44" t="s">
        <v>126</v>
      </c>
      <c r="E59" s="133" t="s">
        <v>170</v>
      </c>
      <c r="F59" s="133"/>
      <c r="G59" s="62">
        <f>H18</f>
        <v>2567886.4136039829</v>
      </c>
      <c r="H59" s="139"/>
    </row>
    <row r="60" spans="1:8" x14ac:dyDescent="0.2">
      <c r="A60" s="44" t="s">
        <v>134</v>
      </c>
      <c r="B60" s="44" t="s">
        <v>170</v>
      </c>
      <c r="C60" s="62">
        <f>H29</f>
        <v>4501462.2075208062</v>
      </c>
      <c r="D60" s="44" t="s">
        <v>126</v>
      </c>
      <c r="E60" s="133" t="s">
        <v>171</v>
      </c>
      <c r="F60" s="133"/>
      <c r="G60" s="62">
        <f>H33</f>
        <v>7387.1334749721846</v>
      </c>
      <c r="H60" s="139"/>
    </row>
    <row r="61" spans="1:8" x14ac:dyDescent="0.2">
      <c r="A61" s="63"/>
      <c r="B61" s="64"/>
      <c r="C61" s="65"/>
      <c r="D61" s="44" t="s">
        <v>126</v>
      </c>
      <c r="E61" s="133" t="s">
        <v>172</v>
      </c>
      <c r="F61" s="133"/>
      <c r="G61" s="62">
        <f>H37</f>
        <v>58727.711126028866</v>
      </c>
      <c r="H61" s="139"/>
    </row>
    <row r="62" spans="1:8" x14ac:dyDescent="0.2">
      <c r="A62" s="66"/>
      <c r="B62" s="67"/>
      <c r="C62" s="68"/>
      <c r="D62" s="44" t="s">
        <v>126</v>
      </c>
      <c r="E62" s="133" t="s">
        <v>173</v>
      </c>
      <c r="F62" s="133"/>
      <c r="G62" s="62">
        <f>horaextra!D43</f>
        <v>14405.098499999998</v>
      </c>
      <c r="H62" s="139"/>
    </row>
    <row r="63" spans="1:8" x14ac:dyDescent="0.2">
      <c r="A63" s="66"/>
      <c r="B63" s="67"/>
      <c r="C63" s="69"/>
      <c r="D63" s="44" t="s">
        <v>134</v>
      </c>
      <c r="E63" s="133" t="s">
        <v>170</v>
      </c>
      <c r="F63" s="133"/>
      <c r="G63" s="62">
        <f>H29</f>
        <v>4501462.2075208062</v>
      </c>
      <c r="H63" s="139"/>
    </row>
    <row r="64" spans="1:8" x14ac:dyDescent="0.2">
      <c r="A64" s="66"/>
      <c r="B64" s="67"/>
      <c r="C64" s="69"/>
      <c r="D64" s="44" t="s">
        <v>134</v>
      </c>
      <c r="E64" s="133" t="s">
        <v>171</v>
      </c>
      <c r="F64" s="133"/>
      <c r="G64" s="62">
        <f>H41</f>
        <v>80243.352582962019</v>
      </c>
      <c r="H64" s="140">
        <f>C68+G68</f>
        <v>15196851.408952147</v>
      </c>
    </row>
    <row r="65" spans="1:8" x14ac:dyDescent="0.2">
      <c r="A65" s="66"/>
      <c r="B65" s="67"/>
      <c r="C65" s="69"/>
      <c r="D65" s="44" t="s">
        <v>134</v>
      </c>
      <c r="E65" s="133" t="s">
        <v>172</v>
      </c>
      <c r="F65" s="133"/>
      <c r="G65" s="62">
        <f>H45+H49</f>
        <v>420730.48729293951</v>
      </c>
      <c r="H65" s="140"/>
    </row>
    <row r="66" spans="1:8" x14ac:dyDescent="0.2">
      <c r="A66" s="66"/>
      <c r="B66" s="67"/>
      <c r="C66" s="69"/>
      <c r="D66" s="44" t="s">
        <v>134</v>
      </c>
      <c r="E66" s="133" t="s">
        <v>174</v>
      </c>
      <c r="F66" s="133"/>
      <c r="G66" s="62">
        <f>H55</f>
        <v>423918.4562256643</v>
      </c>
      <c r="H66" s="140"/>
    </row>
    <row r="67" spans="1:8" x14ac:dyDescent="0.2">
      <c r="A67" s="70"/>
      <c r="B67" s="71"/>
      <c r="C67" s="72"/>
      <c r="D67" s="44" t="s">
        <v>134</v>
      </c>
      <c r="E67" s="133" t="s">
        <v>173</v>
      </c>
      <c r="F67" s="133"/>
      <c r="G67" s="62">
        <f>horaextra!G43</f>
        <v>52741.927499999998</v>
      </c>
      <c r="H67" s="140"/>
    </row>
    <row r="68" spans="1:8" x14ac:dyDescent="0.2">
      <c r="A68" s="138" t="s">
        <v>176</v>
      </c>
      <c r="B68" s="138"/>
      <c r="C68" s="75">
        <f>SUM(C59:C60)</f>
        <v>7069348.6211247891</v>
      </c>
      <c r="D68" s="138" t="s">
        <v>175</v>
      </c>
      <c r="E68" s="138"/>
      <c r="F68" s="138"/>
      <c r="G68" s="75">
        <f>SUM(G59:G67)</f>
        <v>8127502.7878273567</v>
      </c>
      <c r="H68" s="140"/>
    </row>
  </sheetData>
  <mergeCells count="30">
    <mergeCell ref="A8:H8"/>
    <mergeCell ref="A68:B68"/>
    <mergeCell ref="A58:C58"/>
    <mergeCell ref="D58:G58"/>
    <mergeCell ref="H58:H63"/>
    <mergeCell ref="H64:H68"/>
    <mergeCell ref="A55:G55"/>
    <mergeCell ref="E63:F63"/>
    <mergeCell ref="E64:F64"/>
    <mergeCell ref="E65:F65"/>
    <mergeCell ref="E66:F66"/>
    <mergeCell ref="E67:F67"/>
    <mergeCell ref="D68:F68"/>
    <mergeCell ref="A51:H51"/>
    <mergeCell ref="A57:H57"/>
    <mergeCell ref="E59:F59"/>
    <mergeCell ref="E60:F60"/>
    <mergeCell ref="E61:F61"/>
    <mergeCell ref="E62:F62"/>
    <mergeCell ref="A10:H10"/>
    <mergeCell ref="A20:H20"/>
    <mergeCell ref="A31:H31"/>
    <mergeCell ref="A35:H35"/>
    <mergeCell ref="A39:H39"/>
    <mergeCell ref="A47:H47"/>
    <mergeCell ref="A29:G29"/>
    <mergeCell ref="A18:G18"/>
    <mergeCell ref="A23:H23"/>
    <mergeCell ref="A26:H26"/>
    <mergeCell ref="A43:H43"/>
  </mergeCells>
  <printOptions horizontalCentered="1"/>
  <pageMargins left="0.51181102362204722" right="0.51181102362204722" top="0.78740157480314965" bottom="0.78740157480314965" header="0.31496062992125984" footer="0.31496062992125984"/>
  <pageSetup paperSize="9" fitToHeight="0" orientation="landscape" r:id="rId1"/>
  <headerFooter>
    <oddFooter>&amp;L&amp;"Times New Roman,Negrito"Estimativa em &amp;D</oddFooter>
  </headerFooter>
  <rowBreaks count="4" manualBreakCount="4">
    <brk id="18" max="16383" man="1"/>
    <brk id="29" max="16383" man="1"/>
    <brk id="41" max="16383" man="1"/>
    <brk id="55" max="7" man="1"/>
  </rowBreaks>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I43"/>
  <sheetViews>
    <sheetView view="pageBreakPreview" topLeftCell="A15" zoomScaleNormal="115" zoomScaleSheetLayoutView="100" workbookViewId="0">
      <selection activeCell="F17" sqref="F17"/>
    </sheetView>
  </sheetViews>
  <sheetFormatPr defaultRowHeight="12.75" x14ac:dyDescent="0.2"/>
  <cols>
    <col min="1" max="1" width="25.7109375" style="1" customWidth="1"/>
    <col min="2" max="11" width="12.7109375" style="1" customWidth="1"/>
    <col min="12" max="16384" width="9.140625" style="1"/>
  </cols>
  <sheetData>
    <row r="1" spans="1:9" x14ac:dyDescent="0.2">
      <c r="A1" s="42" t="s">
        <v>203</v>
      </c>
    </row>
    <row r="2" spans="1:9" x14ac:dyDescent="0.2">
      <c r="A2" s="1" t="s">
        <v>124</v>
      </c>
    </row>
    <row r="3" spans="1:9" x14ac:dyDescent="0.2">
      <c r="A3" s="1" t="s">
        <v>194</v>
      </c>
    </row>
    <row r="4" spans="1:9" s="86" customFormat="1" ht="38.25" customHeight="1" x14ac:dyDescent="0.25">
      <c r="A4" s="85" t="s">
        <v>127</v>
      </c>
      <c r="B4" s="94" t="s">
        <v>126</v>
      </c>
      <c r="C4" s="95"/>
      <c r="D4" s="95"/>
      <c r="E4" s="95"/>
      <c r="F4" s="118" t="s">
        <v>191</v>
      </c>
      <c r="G4" s="119"/>
      <c r="H4" s="118" t="s">
        <v>204</v>
      </c>
      <c r="I4" s="119"/>
    </row>
    <row r="5" spans="1:9" s="4" customFormat="1" ht="80.099999999999994" customHeight="1" x14ac:dyDescent="0.25">
      <c r="A5" s="59" t="s">
        <v>128</v>
      </c>
      <c r="B5" s="120" t="str">
        <f>superv44!A6</f>
        <v>VIGILÂNCIA ARMADA DIURNA - Vigilante Supervisor, com jornada de 44 horas semanais, TRAJE SOCIAL</v>
      </c>
      <c r="C5" s="121"/>
      <c r="D5" s="121" t="str">
        <f>vig44ssasoc!A6</f>
        <v>VIGILÂNCIA ARMADA DIURNA - jornada de 44 horas semanais, TRAJE SOCIAL</v>
      </c>
      <c r="E5" s="121"/>
      <c r="F5" s="117" t="str">
        <f>vig44int!A6</f>
        <v>VIGILÂNCIA ARMADA DIURNA - jornada de 44 horas semanais, FARDAMENTO TÁTICO</v>
      </c>
      <c r="G5" s="117"/>
      <c r="H5" s="117" t="str">
        <f>vig44int!A6</f>
        <v>VIGILÂNCIA ARMADA DIURNA - jornada de 44 horas semanais, FARDAMENTO TÁTICO</v>
      </c>
      <c r="I5" s="117"/>
    </row>
    <row r="6" spans="1:9" x14ac:dyDescent="0.2">
      <c r="A6" s="60" t="s">
        <v>129</v>
      </c>
      <c r="B6" s="51"/>
      <c r="C6" s="53">
        <f>superv44!D26</f>
        <v>2648.1959999999999</v>
      </c>
      <c r="D6" s="51"/>
      <c r="E6" s="53">
        <f>vig44ssasoc!D26</f>
        <v>1912.586</v>
      </c>
      <c r="F6" s="46"/>
      <c r="G6" s="47">
        <f>vig44int!D26</f>
        <v>1912.586</v>
      </c>
      <c r="H6" s="46"/>
      <c r="I6" s="47">
        <f>vig44int!D26</f>
        <v>1912.586</v>
      </c>
    </row>
    <row r="7" spans="1:9" x14ac:dyDescent="0.2">
      <c r="A7" s="60" t="s">
        <v>133</v>
      </c>
      <c r="B7" s="51"/>
      <c r="C7" s="53">
        <f>ROUND(C6/220,2)</f>
        <v>12.04</v>
      </c>
      <c r="D7" s="51"/>
      <c r="E7" s="53">
        <f>ROUND(E6/220,2)</f>
        <v>8.69</v>
      </c>
      <c r="F7" s="46"/>
      <c r="G7" s="47">
        <f>ROUND(G6/220,2)</f>
        <v>8.69</v>
      </c>
      <c r="H7" s="46"/>
      <c r="I7" s="47">
        <f>ROUND(I6/220,2)</f>
        <v>8.69</v>
      </c>
    </row>
    <row r="8" spans="1:9" x14ac:dyDescent="0.2">
      <c r="A8" s="60" t="s">
        <v>182</v>
      </c>
      <c r="B8" s="54">
        <f>superv44!C37</f>
        <v>0.1943</v>
      </c>
      <c r="C8" s="53">
        <f>ROUND(C7*B8,2)</f>
        <v>2.34</v>
      </c>
      <c r="D8" s="54">
        <f>SUM(vig44ssasoc!C34:C35)</f>
        <v>0.1666</v>
      </c>
      <c r="E8" s="53">
        <f>ROUND(E7*D8,2)</f>
        <v>1.45</v>
      </c>
      <c r="F8" s="48">
        <f>SUM(vig44int!C34:C35)</f>
        <v>0.1666</v>
      </c>
      <c r="G8" s="82">
        <f>ROUND(G7*F8,2)</f>
        <v>1.45</v>
      </c>
      <c r="H8" s="48">
        <f>SUM(vig44int!C34:C35)</f>
        <v>0.1666</v>
      </c>
      <c r="I8" s="82">
        <f>ROUND(I7*H8,2)</f>
        <v>1.45</v>
      </c>
    </row>
    <row r="9" spans="1:9" x14ac:dyDescent="0.2">
      <c r="A9" s="60" t="s">
        <v>130</v>
      </c>
      <c r="B9" s="54">
        <f>superv44!C51</f>
        <v>0.36800000000000005</v>
      </c>
      <c r="C9" s="53">
        <f>ROUND((C7+C8)*B9,2)</f>
        <v>5.29</v>
      </c>
      <c r="D9" s="54">
        <f>vig44ssasoc!C51</f>
        <v>0.36800000000000005</v>
      </c>
      <c r="E9" s="53">
        <f>ROUND((E7+E8)*D9,2)</f>
        <v>3.73</v>
      </c>
      <c r="F9" s="48">
        <f>vig44int!C51</f>
        <v>0.36800000000000005</v>
      </c>
      <c r="G9" s="82">
        <f>ROUND((G7+G8)*F9,2)</f>
        <v>3.73</v>
      </c>
      <c r="H9" s="48">
        <f>vig44int!C51</f>
        <v>0.36800000000000005</v>
      </c>
      <c r="I9" s="82">
        <f>ROUND((I7+I8)*H9,2)</f>
        <v>3.73</v>
      </c>
    </row>
    <row r="10" spans="1:9" x14ac:dyDescent="0.2">
      <c r="A10" s="60" t="s">
        <v>131</v>
      </c>
      <c r="B10" s="54">
        <f>superv44!C143</f>
        <v>0.2391614668856048</v>
      </c>
      <c r="C10" s="53">
        <f>ROUND((C7+C8+C9)*B10,2)</f>
        <v>4.7</v>
      </c>
      <c r="D10" s="54">
        <f>vig44ssasoc!C143</f>
        <v>0.2391614668856048</v>
      </c>
      <c r="E10" s="53">
        <f>ROUND((E7+E8+E9)*D10,2)</f>
        <v>3.32</v>
      </c>
      <c r="F10" s="48">
        <f>vig44int!C143</f>
        <v>0.2391614668856048</v>
      </c>
      <c r="G10" s="82">
        <f>ROUND((G7+G8+G9)*F10,2)</f>
        <v>3.32</v>
      </c>
      <c r="H10" s="48">
        <f>vig44int!C143</f>
        <v>0.2391614668856048</v>
      </c>
      <c r="I10" s="82">
        <f>ROUND((I7+I8+I9)*H10,2)</f>
        <v>3.32</v>
      </c>
    </row>
    <row r="11" spans="1:9" x14ac:dyDescent="0.2">
      <c r="A11" s="60" t="s">
        <v>132</v>
      </c>
      <c r="B11" s="51"/>
      <c r="C11" s="53">
        <f>SUM(C7:C10)</f>
        <v>24.369999999999997</v>
      </c>
      <c r="D11" s="51"/>
      <c r="E11" s="53">
        <f>SUM(E7:E10)</f>
        <v>17.189999999999998</v>
      </c>
      <c r="F11" s="46"/>
      <c r="G11" s="82">
        <f>SUM(G7:G10)</f>
        <v>17.189999999999998</v>
      </c>
      <c r="H11" s="46"/>
      <c r="I11" s="82">
        <f>SUM(I7:I10)</f>
        <v>17.189999999999998</v>
      </c>
    </row>
    <row r="12" spans="1:9" x14ac:dyDescent="0.2">
      <c r="A12" s="60" t="s">
        <v>183</v>
      </c>
      <c r="B12" s="55">
        <v>0.5</v>
      </c>
      <c r="C12" s="56">
        <f>ROUND(C11*(1+B12),2)</f>
        <v>36.56</v>
      </c>
      <c r="D12" s="55">
        <v>0.5</v>
      </c>
      <c r="E12" s="56">
        <f>ROUND(E11*(1+D12),2)</f>
        <v>25.79</v>
      </c>
      <c r="F12" s="49">
        <v>0.5</v>
      </c>
      <c r="G12" s="84">
        <f>ROUND(G11*(1+F12),2)</f>
        <v>25.79</v>
      </c>
      <c r="H12" s="49">
        <v>0.5</v>
      </c>
      <c r="I12" s="84">
        <f>ROUND(I11*(1+H12),2)</f>
        <v>25.79</v>
      </c>
    </row>
    <row r="14" spans="1:9" s="86" customFormat="1" ht="38.25" customHeight="1" x14ac:dyDescent="0.25">
      <c r="A14" s="85" t="s">
        <v>135</v>
      </c>
      <c r="B14" s="94" t="s">
        <v>126</v>
      </c>
      <c r="C14" s="95"/>
      <c r="D14" s="95"/>
      <c r="E14" s="95"/>
      <c r="F14" s="118" t="s">
        <v>191</v>
      </c>
      <c r="G14" s="119"/>
      <c r="H14" s="118" t="s">
        <v>186</v>
      </c>
      <c r="I14" s="119"/>
    </row>
    <row r="15" spans="1:9" ht="80.099999999999994" customHeight="1" x14ac:dyDescent="0.2">
      <c r="A15" s="89" t="s">
        <v>128</v>
      </c>
      <c r="B15" s="120" t="str">
        <f>superv44!A6</f>
        <v>VIGILÂNCIA ARMADA DIURNA - Vigilante Supervisor, com jornada de 44 horas semanais, TRAJE SOCIAL</v>
      </c>
      <c r="C15" s="121"/>
      <c r="D15" s="121" t="str">
        <f>vig44ssasoc!A6</f>
        <v>VIGILÂNCIA ARMADA DIURNA - jornada de 44 horas semanais, TRAJE SOCIAL</v>
      </c>
      <c r="E15" s="121"/>
      <c r="F15" s="117" t="str">
        <f>vig44int!A6</f>
        <v>VIGILÂNCIA ARMADA DIURNA - jornada de 44 horas semanais, FARDAMENTO TÁTICO</v>
      </c>
      <c r="G15" s="117"/>
      <c r="H15" s="117" t="str">
        <f>vig44int!A6</f>
        <v>VIGILÂNCIA ARMADA DIURNA - jornada de 44 horas semanais, FARDAMENTO TÁTICO</v>
      </c>
      <c r="I15" s="117"/>
    </row>
    <row r="16" spans="1:9" x14ac:dyDescent="0.2">
      <c r="A16" s="90" t="s">
        <v>137</v>
      </c>
      <c r="B16" s="51">
        <v>150</v>
      </c>
      <c r="C16" s="56">
        <f>C12*B16</f>
        <v>5484</v>
      </c>
      <c r="D16" s="51">
        <v>300</v>
      </c>
      <c r="E16" s="56">
        <f>E12*D16</f>
        <v>7737</v>
      </c>
      <c r="F16" s="46">
        <f>3*(10+30+30)</f>
        <v>210</v>
      </c>
      <c r="G16" s="57">
        <f>G12*F16</f>
        <v>5415.9</v>
      </c>
      <c r="H16" s="46">
        <f>41*(10+30+30)</f>
        <v>2870</v>
      </c>
      <c r="I16" s="57">
        <f>I12*H16</f>
        <v>74017.3</v>
      </c>
    </row>
    <row r="18" spans="1:9" s="86" customFormat="1" ht="38.25" customHeight="1" x14ac:dyDescent="0.25">
      <c r="A18" s="85" t="s">
        <v>136</v>
      </c>
      <c r="B18" s="94" t="s">
        <v>126</v>
      </c>
      <c r="C18" s="95"/>
      <c r="D18" s="95"/>
      <c r="E18" s="95"/>
      <c r="F18" s="118" t="s">
        <v>191</v>
      </c>
      <c r="G18" s="119"/>
      <c r="H18" s="118" t="s">
        <v>204</v>
      </c>
      <c r="I18" s="119"/>
    </row>
    <row r="19" spans="1:9" ht="80.099999999999994" customHeight="1" x14ac:dyDescent="0.2">
      <c r="A19" s="89" t="s">
        <v>128</v>
      </c>
      <c r="B19" s="120" t="str">
        <f>superv44!A6</f>
        <v>VIGILÂNCIA ARMADA DIURNA - Vigilante Supervisor, com jornada de 44 horas semanais, TRAJE SOCIAL</v>
      </c>
      <c r="C19" s="121"/>
      <c r="D19" s="121" t="str">
        <f>vig44ssasoc!A6</f>
        <v>VIGILÂNCIA ARMADA DIURNA - jornada de 44 horas semanais, TRAJE SOCIAL</v>
      </c>
      <c r="E19" s="121"/>
      <c r="F19" s="117" t="str">
        <f>vig44int!A6</f>
        <v>VIGILÂNCIA ARMADA DIURNA - jornada de 44 horas semanais, FARDAMENTO TÁTICO</v>
      </c>
      <c r="G19" s="117"/>
      <c r="H19" s="117" t="str">
        <f>vig44int!A6</f>
        <v>VIGILÂNCIA ARMADA DIURNA - jornada de 44 horas semanais, FARDAMENTO TÁTICO</v>
      </c>
      <c r="I19" s="117"/>
    </row>
    <row r="20" spans="1:9" x14ac:dyDescent="0.2">
      <c r="A20" s="90" t="s">
        <v>138</v>
      </c>
      <c r="B20" s="51"/>
      <c r="C20" s="53">
        <v>5.2</v>
      </c>
      <c r="D20" s="51"/>
      <c r="E20" s="53">
        <v>5.2</v>
      </c>
      <c r="F20" s="46"/>
      <c r="G20" s="47">
        <v>3.92</v>
      </c>
      <c r="H20" s="46"/>
      <c r="I20" s="47">
        <v>3.92</v>
      </c>
    </row>
    <row r="21" spans="1:9" x14ac:dyDescent="0.2">
      <c r="A21" s="90" t="s">
        <v>139</v>
      </c>
      <c r="B21" s="51">
        <v>2</v>
      </c>
      <c r="C21" s="53">
        <f>C20*B21</f>
        <v>10.4</v>
      </c>
      <c r="D21" s="51">
        <v>2</v>
      </c>
      <c r="E21" s="53">
        <f>E20*D21</f>
        <v>10.4</v>
      </c>
      <c r="F21" s="46">
        <v>2</v>
      </c>
      <c r="G21" s="47">
        <f>G20*F21</f>
        <v>7.84</v>
      </c>
      <c r="H21" s="46">
        <v>2</v>
      </c>
      <c r="I21" s="47">
        <f>I20*H21</f>
        <v>7.84</v>
      </c>
    </row>
    <row r="22" spans="1:9" x14ac:dyDescent="0.2">
      <c r="A22" s="90" t="s">
        <v>131</v>
      </c>
      <c r="B22" s="54">
        <f>superv44!C143</f>
        <v>0.2391614668856048</v>
      </c>
      <c r="C22" s="53">
        <f>ROUND(C21*B22,2)</f>
        <v>2.4900000000000002</v>
      </c>
      <c r="D22" s="54">
        <f>vig44ssasoc!C143</f>
        <v>0.2391614668856048</v>
      </c>
      <c r="E22" s="53">
        <f>ROUND(E21*D22,2)</f>
        <v>2.4900000000000002</v>
      </c>
      <c r="F22" s="48">
        <f>vig44int!C143</f>
        <v>0.2391614668856048</v>
      </c>
      <c r="G22" s="47">
        <f>ROUND(G21*F22,2)</f>
        <v>1.88</v>
      </c>
      <c r="H22" s="48">
        <f>vig44int!C143</f>
        <v>0.2391614668856048</v>
      </c>
      <c r="I22" s="47">
        <f>ROUND(I21*H22,2)</f>
        <v>1.88</v>
      </c>
    </row>
    <row r="23" spans="1:9" x14ac:dyDescent="0.2">
      <c r="A23" s="90" t="s">
        <v>132</v>
      </c>
      <c r="B23" s="51"/>
      <c r="C23" s="53">
        <f>SUM(C21:C22)</f>
        <v>12.89</v>
      </c>
      <c r="D23" s="51"/>
      <c r="E23" s="53">
        <f>SUM(E21:E22)</f>
        <v>12.89</v>
      </c>
      <c r="F23" s="46"/>
      <c r="G23" s="47">
        <f>SUM(G21:G22)</f>
        <v>9.7199999999999989</v>
      </c>
      <c r="H23" s="46"/>
      <c r="I23" s="47">
        <f>SUM(I21:I22)</f>
        <v>9.7199999999999989</v>
      </c>
    </row>
    <row r="24" spans="1:9" x14ac:dyDescent="0.2">
      <c r="A24" s="90" t="s">
        <v>140</v>
      </c>
      <c r="B24" s="51">
        <v>4</v>
      </c>
      <c r="C24" s="53">
        <f>C23*B24</f>
        <v>51.56</v>
      </c>
      <c r="D24" s="51">
        <v>4</v>
      </c>
      <c r="E24" s="53">
        <f>E23*D24</f>
        <v>51.56</v>
      </c>
      <c r="F24" s="46">
        <v>0</v>
      </c>
      <c r="G24" s="47">
        <f>G23*F24</f>
        <v>0</v>
      </c>
      <c r="H24" s="46">
        <v>0</v>
      </c>
      <c r="I24" s="47">
        <f>I23*H24</f>
        <v>0</v>
      </c>
    </row>
    <row r="25" spans="1:9" x14ac:dyDescent="0.2">
      <c r="A25" s="90" t="s">
        <v>141</v>
      </c>
      <c r="B25" s="51">
        <v>9</v>
      </c>
      <c r="C25" s="53">
        <f>C23*B25</f>
        <v>116.01</v>
      </c>
      <c r="D25" s="51">
        <v>9</v>
      </c>
      <c r="E25" s="53">
        <f>E23*D25</f>
        <v>116.01</v>
      </c>
      <c r="F25" s="46">
        <v>7</v>
      </c>
      <c r="G25" s="47">
        <f>G23*F25</f>
        <v>68.039999999999992</v>
      </c>
      <c r="H25" s="46">
        <v>7</v>
      </c>
      <c r="I25" s="47">
        <f>I23*H25</f>
        <v>68.039999999999992</v>
      </c>
    </row>
    <row r="26" spans="1:9" x14ac:dyDescent="0.2">
      <c r="A26" s="90" t="s">
        <v>146</v>
      </c>
      <c r="B26" s="51"/>
      <c r="C26" s="53">
        <f>SUM(C24:C25)</f>
        <v>167.57</v>
      </c>
      <c r="D26" s="51"/>
      <c r="E26" s="53">
        <f>SUM(E24:E25)</f>
        <v>167.57</v>
      </c>
      <c r="F26" s="46"/>
      <c r="G26" s="47">
        <f>SUM(G24:G25)</f>
        <v>68.039999999999992</v>
      </c>
      <c r="H26" s="46"/>
      <c r="I26" s="47">
        <f>SUM(I24:I25)</f>
        <v>68.039999999999992</v>
      </c>
    </row>
    <row r="27" spans="1:9" x14ac:dyDescent="0.2">
      <c r="A27" s="90" t="s">
        <v>148</v>
      </c>
      <c r="B27" s="51">
        <v>1</v>
      </c>
      <c r="C27" s="56">
        <f>C26*B27</f>
        <v>167.57</v>
      </c>
      <c r="D27" s="51">
        <v>2</v>
      </c>
      <c r="E27" s="56">
        <f>E26*D27</f>
        <v>335.14</v>
      </c>
      <c r="F27" s="46">
        <v>3</v>
      </c>
      <c r="G27" s="57">
        <f>G26*F27</f>
        <v>204.11999999999998</v>
      </c>
      <c r="H27" s="46">
        <v>41</v>
      </c>
      <c r="I27" s="57">
        <f>I26*H27</f>
        <v>2789.64</v>
      </c>
    </row>
    <row r="29" spans="1:9" s="86" customFormat="1" ht="38.25" customHeight="1" x14ac:dyDescent="0.25">
      <c r="A29" s="85" t="s">
        <v>142</v>
      </c>
      <c r="B29" s="94" t="s">
        <v>126</v>
      </c>
      <c r="C29" s="95"/>
      <c r="D29" s="95"/>
      <c r="E29" s="95"/>
      <c r="F29" s="118" t="s">
        <v>191</v>
      </c>
      <c r="G29" s="119"/>
      <c r="H29" s="118" t="s">
        <v>204</v>
      </c>
      <c r="I29" s="119"/>
    </row>
    <row r="30" spans="1:9" ht="80.099999999999994" customHeight="1" x14ac:dyDescent="0.2">
      <c r="A30" s="89" t="s">
        <v>128</v>
      </c>
      <c r="B30" s="121" t="str">
        <f>superv44!A6</f>
        <v>VIGILÂNCIA ARMADA DIURNA - Vigilante Supervisor, com jornada de 44 horas semanais, TRAJE SOCIAL</v>
      </c>
      <c r="C30" s="121"/>
      <c r="D30" s="121" t="str">
        <f>vig44ssasoc!A6</f>
        <v>VIGILÂNCIA ARMADA DIURNA - jornada de 44 horas semanais, TRAJE SOCIAL</v>
      </c>
      <c r="E30" s="121"/>
      <c r="F30" s="117" t="str">
        <f>vig44int!A6</f>
        <v>VIGILÂNCIA ARMADA DIURNA - jornada de 44 horas semanais, FARDAMENTO TÁTICO</v>
      </c>
      <c r="G30" s="117"/>
      <c r="H30" s="117" t="str">
        <f>vig44int!A6</f>
        <v>VIGILÂNCIA ARMADA DIURNA - jornada de 44 horas semanais, FARDAMENTO TÁTICO</v>
      </c>
      <c r="I30" s="117"/>
    </row>
    <row r="31" spans="1:9" x14ac:dyDescent="0.2">
      <c r="A31" s="45" t="s">
        <v>143</v>
      </c>
      <c r="B31" s="51"/>
      <c r="C31" s="53">
        <f>16.59*0.85</f>
        <v>14.1015</v>
      </c>
      <c r="D31" s="51"/>
      <c r="E31" s="53">
        <f>16.59*0.85</f>
        <v>14.1015</v>
      </c>
      <c r="F31" s="46"/>
      <c r="G31" s="47">
        <f>16.59*0.85</f>
        <v>14.1015</v>
      </c>
      <c r="H31" s="46"/>
      <c r="I31" s="47">
        <f>16.59*0.85</f>
        <v>14.1015</v>
      </c>
    </row>
    <row r="32" spans="1:9" x14ac:dyDescent="0.2">
      <c r="A32" s="90" t="s">
        <v>131</v>
      </c>
      <c r="B32" s="54">
        <f>superv44!C143</f>
        <v>0.2391614668856048</v>
      </c>
      <c r="C32" s="53">
        <f>ROUND(C31*B32,2)</f>
        <v>3.37</v>
      </c>
      <c r="D32" s="54">
        <f>vig44ssasoc!C143</f>
        <v>0.2391614668856048</v>
      </c>
      <c r="E32" s="53">
        <f>ROUND(E31*D32,2)</f>
        <v>3.37</v>
      </c>
      <c r="F32" s="48">
        <f>vig44int!C143</f>
        <v>0.2391614668856048</v>
      </c>
      <c r="G32" s="47">
        <f>ROUND(G31*F32,2)</f>
        <v>3.37</v>
      </c>
      <c r="H32" s="48">
        <f>vig44int!C143</f>
        <v>0.2391614668856048</v>
      </c>
      <c r="I32" s="47">
        <f>ROUND(I31*H32,2)</f>
        <v>3.37</v>
      </c>
    </row>
    <row r="33" spans="1:9" x14ac:dyDescent="0.2">
      <c r="A33" s="90" t="s">
        <v>132</v>
      </c>
      <c r="B33" s="51"/>
      <c r="C33" s="53">
        <f>SUM(C31:C32)</f>
        <v>17.471499999999999</v>
      </c>
      <c r="D33" s="51"/>
      <c r="E33" s="53">
        <f>SUM(E31:E32)</f>
        <v>17.471499999999999</v>
      </c>
      <c r="F33" s="46"/>
      <c r="G33" s="47">
        <f>SUM(G31:G32)</f>
        <v>17.471499999999999</v>
      </c>
      <c r="H33" s="46"/>
      <c r="I33" s="47">
        <f>SUM(I31:I32)</f>
        <v>17.471499999999999</v>
      </c>
    </row>
    <row r="34" spans="1:9" x14ac:dyDescent="0.2">
      <c r="A34" s="90" t="s">
        <v>144</v>
      </c>
      <c r="B34" s="51">
        <v>4</v>
      </c>
      <c r="C34" s="53">
        <f>C33*B34</f>
        <v>69.885999999999996</v>
      </c>
      <c r="D34" s="51">
        <v>4</v>
      </c>
      <c r="E34" s="53">
        <f>E33*D34</f>
        <v>69.885999999999996</v>
      </c>
      <c r="F34" s="46">
        <v>0</v>
      </c>
      <c r="G34" s="47">
        <f>G33*F34</f>
        <v>0</v>
      </c>
      <c r="H34" s="46">
        <v>0</v>
      </c>
      <c r="I34" s="47">
        <f>I33*H34</f>
        <v>0</v>
      </c>
    </row>
    <row r="35" spans="1:9" x14ac:dyDescent="0.2">
      <c r="A35" s="90" t="s">
        <v>145</v>
      </c>
      <c r="B35" s="51">
        <v>9</v>
      </c>
      <c r="C35" s="53">
        <f>C33*B35</f>
        <v>157.24349999999998</v>
      </c>
      <c r="D35" s="51">
        <v>9</v>
      </c>
      <c r="E35" s="53">
        <f>E33*D35</f>
        <v>157.24349999999998</v>
      </c>
      <c r="F35" s="46">
        <v>7</v>
      </c>
      <c r="G35" s="47">
        <f>G33*F35</f>
        <v>122.3005</v>
      </c>
      <c r="H35" s="46">
        <v>7</v>
      </c>
      <c r="I35" s="47">
        <f>I33*H35</f>
        <v>122.3005</v>
      </c>
    </row>
    <row r="36" spans="1:9" x14ac:dyDescent="0.2">
      <c r="A36" s="90" t="s">
        <v>147</v>
      </c>
      <c r="B36" s="51"/>
      <c r="C36" s="53">
        <f>SUM(C34:C35)</f>
        <v>227.12949999999998</v>
      </c>
      <c r="D36" s="51"/>
      <c r="E36" s="53">
        <f>SUM(E34:E35)</f>
        <v>227.12949999999998</v>
      </c>
      <c r="F36" s="46"/>
      <c r="G36" s="47">
        <f>SUM(G34:G35)</f>
        <v>122.3005</v>
      </c>
      <c r="H36" s="46"/>
      <c r="I36" s="47">
        <f>SUM(I34:I35)</f>
        <v>122.3005</v>
      </c>
    </row>
    <row r="37" spans="1:9" x14ac:dyDescent="0.2">
      <c r="A37" s="90" t="s">
        <v>149</v>
      </c>
      <c r="B37" s="51">
        <v>1</v>
      </c>
      <c r="C37" s="56">
        <f>C36*B37</f>
        <v>227.12949999999998</v>
      </c>
      <c r="D37" s="51">
        <v>2</v>
      </c>
      <c r="E37" s="56">
        <f>E36*D37</f>
        <v>454.25899999999996</v>
      </c>
      <c r="F37" s="46">
        <v>3</v>
      </c>
      <c r="G37" s="57">
        <f>G36*F37</f>
        <v>366.9015</v>
      </c>
      <c r="H37" s="46">
        <v>41</v>
      </c>
      <c r="I37" s="57">
        <f>I36*H37</f>
        <v>5014.3204999999998</v>
      </c>
    </row>
    <row r="39" spans="1:9" x14ac:dyDescent="0.2">
      <c r="A39" s="42" t="s">
        <v>153</v>
      </c>
      <c r="B39" s="122" t="s">
        <v>126</v>
      </c>
      <c r="C39" s="122"/>
      <c r="D39" s="122"/>
      <c r="E39" s="123" t="s">
        <v>134</v>
      </c>
      <c r="F39" s="123"/>
      <c r="G39" s="123"/>
      <c r="H39" s="124" t="s">
        <v>16</v>
      </c>
      <c r="I39" s="124"/>
    </row>
    <row r="40" spans="1:9" x14ac:dyDescent="0.2">
      <c r="A40" s="90" t="s">
        <v>150</v>
      </c>
      <c r="B40" s="125">
        <f>SUM(C16,E16)</f>
        <v>13221</v>
      </c>
      <c r="C40" s="126"/>
      <c r="D40" s="126"/>
      <c r="E40" s="127">
        <f>G16+I16</f>
        <v>79433.2</v>
      </c>
      <c r="F40" s="128"/>
      <c r="G40" s="128"/>
      <c r="H40" s="129">
        <f>SUM(B40:G40)</f>
        <v>92654.2</v>
      </c>
      <c r="I40" s="130"/>
    </row>
    <row r="41" spans="1:9" x14ac:dyDescent="0.2">
      <c r="A41" s="90" t="s">
        <v>151</v>
      </c>
      <c r="B41" s="125">
        <f>SUM(C27,E27)</f>
        <v>502.71</v>
      </c>
      <c r="C41" s="126"/>
      <c r="D41" s="126"/>
      <c r="E41" s="127">
        <f>G27+I27</f>
        <v>2993.7599999999998</v>
      </c>
      <c r="F41" s="128"/>
      <c r="G41" s="128"/>
      <c r="H41" s="129">
        <f t="shared" ref="H41:H42" si="0">SUM(B41:G41)</f>
        <v>3496.47</v>
      </c>
      <c r="I41" s="130"/>
    </row>
    <row r="42" spans="1:9" x14ac:dyDescent="0.2">
      <c r="A42" s="90" t="s">
        <v>152</v>
      </c>
      <c r="B42" s="125">
        <f>SUM(C37,E37)</f>
        <v>681.38849999999991</v>
      </c>
      <c r="C42" s="126"/>
      <c r="D42" s="126"/>
      <c r="E42" s="127">
        <f>G37+I37</f>
        <v>5381.2219999999998</v>
      </c>
      <c r="F42" s="128"/>
      <c r="G42" s="128"/>
      <c r="H42" s="129">
        <f t="shared" si="0"/>
        <v>6062.6104999999998</v>
      </c>
      <c r="I42" s="130"/>
    </row>
    <row r="43" spans="1:9" ht="15" customHeight="1" x14ac:dyDescent="0.2">
      <c r="A43" s="58" t="s">
        <v>16</v>
      </c>
      <c r="B43" s="51"/>
      <c r="C43" s="52"/>
      <c r="D43" s="56">
        <f>SUM(B40:D42)</f>
        <v>14405.098499999998</v>
      </c>
      <c r="E43" s="46"/>
      <c r="F43" s="50"/>
      <c r="G43" s="57">
        <f>SUM(E40:G42)</f>
        <v>87808.181999999986</v>
      </c>
      <c r="H43" s="131">
        <f>SUM(H40:I42)</f>
        <v>102213.28049999999</v>
      </c>
      <c r="I43" s="132"/>
    </row>
  </sheetData>
  <mergeCells count="37">
    <mergeCell ref="F4:G4"/>
    <mergeCell ref="H4:I4"/>
    <mergeCell ref="B5:C5"/>
    <mergeCell ref="D5:E5"/>
    <mergeCell ref="F5:G5"/>
    <mergeCell ref="H5:I5"/>
    <mergeCell ref="F14:G14"/>
    <mergeCell ref="H14:I14"/>
    <mergeCell ref="B15:C15"/>
    <mergeCell ref="D15:E15"/>
    <mergeCell ref="F15:G15"/>
    <mergeCell ref="H15:I15"/>
    <mergeCell ref="F18:G18"/>
    <mergeCell ref="H18:I18"/>
    <mergeCell ref="B19:C19"/>
    <mergeCell ref="D19:E19"/>
    <mergeCell ref="F19:G19"/>
    <mergeCell ref="H19:I19"/>
    <mergeCell ref="F29:G29"/>
    <mergeCell ref="H29:I29"/>
    <mergeCell ref="B30:C30"/>
    <mergeCell ref="D30:E30"/>
    <mergeCell ref="F30:G30"/>
    <mergeCell ref="H30:I30"/>
    <mergeCell ref="B39:D39"/>
    <mergeCell ref="E39:G39"/>
    <mergeCell ref="H39:I39"/>
    <mergeCell ref="B40:D40"/>
    <mergeCell ref="E40:G40"/>
    <mergeCell ref="H40:I40"/>
    <mergeCell ref="H43:I43"/>
    <mergeCell ref="B41:D41"/>
    <mergeCell ref="E41:G41"/>
    <mergeCell ref="H41:I41"/>
    <mergeCell ref="B42:D42"/>
    <mergeCell ref="E42:G42"/>
    <mergeCell ref="H42:I42"/>
  </mergeCells>
  <pageMargins left="0.51181102362204722" right="0.51181102362204722" top="0.78740157480314965" bottom="0.78740157480314965" header="0.31496062992125984" footer="0.31496062992125984"/>
  <pageSetup paperSize="9" scale="88" orientation="landscape" r:id="rId1"/>
  <rowBreaks count="1" manualBreakCount="1">
    <brk id="17"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8:K68"/>
  <sheetViews>
    <sheetView tabSelected="1" view="pageBreakPreview" zoomScaleNormal="115" zoomScaleSheetLayoutView="100" workbookViewId="0">
      <selection activeCell="A51" sqref="A51:H51"/>
    </sheetView>
  </sheetViews>
  <sheetFormatPr defaultRowHeight="12.75" x14ac:dyDescent="0.2"/>
  <cols>
    <col min="1" max="1" width="10.7109375" style="1" customWidth="1"/>
    <col min="2" max="2" width="30.7109375" style="1" customWidth="1"/>
    <col min="3" max="3" width="15.7109375" style="1" customWidth="1"/>
    <col min="4" max="4" width="10.7109375" style="1" customWidth="1"/>
    <col min="5" max="5" width="15.7109375" style="1" customWidth="1"/>
    <col min="6" max="6" width="10.7109375" style="1" customWidth="1"/>
    <col min="7" max="8" width="15.7109375" style="1" customWidth="1"/>
    <col min="9" max="16384" width="9.140625" style="1"/>
  </cols>
  <sheetData>
    <row r="8" spans="1:8" ht="15.75" x14ac:dyDescent="0.25">
      <c r="A8" s="137" t="s">
        <v>205</v>
      </c>
      <c r="B8" s="137"/>
      <c r="C8" s="137"/>
      <c r="D8" s="137"/>
      <c r="E8" s="137"/>
      <c r="F8" s="137"/>
      <c r="G8" s="137"/>
      <c r="H8" s="137"/>
    </row>
    <row r="9" spans="1:8" x14ac:dyDescent="0.2">
      <c r="A9" s="1" t="s">
        <v>194</v>
      </c>
    </row>
    <row r="10" spans="1:8" x14ac:dyDescent="0.2">
      <c r="A10" s="134" t="s">
        <v>162</v>
      </c>
      <c r="B10" s="134"/>
      <c r="C10" s="134"/>
      <c r="D10" s="134"/>
      <c r="E10" s="134"/>
      <c r="F10" s="134"/>
      <c r="G10" s="134"/>
      <c r="H10" s="134"/>
    </row>
    <row r="11" spans="1:8" s="40" customFormat="1" ht="25.5" x14ac:dyDescent="0.25">
      <c r="A11" s="76" t="s">
        <v>154</v>
      </c>
      <c r="B11" s="76" t="s">
        <v>155</v>
      </c>
      <c r="C11" s="76" t="s">
        <v>156</v>
      </c>
      <c r="D11" s="76" t="s">
        <v>157</v>
      </c>
      <c r="E11" s="76" t="s">
        <v>158</v>
      </c>
      <c r="F11" s="76" t="s">
        <v>159</v>
      </c>
      <c r="G11" s="76" t="s">
        <v>160</v>
      </c>
      <c r="H11" s="76" t="s">
        <v>161</v>
      </c>
    </row>
    <row r="12" spans="1:8" ht="38.25" x14ac:dyDescent="0.2">
      <c r="A12" s="88">
        <v>1</v>
      </c>
      <c r="B12" s="88" t="str">
        <f>superv44!A6</f>
        <v>VIGILÂNCIA ARMADA DIURNA - Vigilante Supervisor, com jornada de 44 horas semanais, TRAJE SOCIAL</v>
      </c>
      <c r="C12" s="74">
        <f>superv44!D156</f>
        <v>7201.1749475421639</v>
      </c>
      <c r="D12" s="88">
        <v>1</v>
      </c>
      <c r="E12" s="74">
        <f>C12*D12</f>
        <v>7201.1749475421639</v>
      </c>
      <c r="F12" s="88">
        <f>superv44!D6</f>
        <v>1</v>
      </c>
      <c r="G12" s="74">
        <f>E12*F12</f>
        <v>7201.1749475421639</v>
      </c>
      <c r="H12" s="74">
        <f>G12*12</f>
        <v>86414.099370505966</v>
      </c>
    </row>
    <row r="13" spans="1:8" ht="38.25" x14ac:dyDescent="0.2">
      <c r="A13" s="88">
        <v>2</v>
      </c>
      <c r="B13" s="88" t="str">
        <f>fiscal1236d!A6</f>
        <v>VIGILÂNCIA ARMADA DIURNA - Vigilante Fiscal, 12:00h x 36:00h, TRAJE SOCIAL</v>
      </c>
      <c r="C13" s="74">
        <f>fiscal1236d!D156</f>
        <v>6526.9263341916812</v>
      </c>
      <c r="D13" s="88">
        <v>2</v>
      </c>
      <c r="E13" s="74">
        <f>C13*D13</f>
        <v>13053.852668383362</v>
      </c>
      <c r="F13" s="88">
        <f>fiscal1236d!D6</f>
        <v>1</v>
      </c>
      <c r="G13" s="74">
        <f t="shared" ref="G13:G17" si="0">E13*F13</f>
        <v>13053.852668383362</v>
      </c>
      <c r="H13" s="74">
        <f t="shared" ref="H13:H17" si="1">G13*12</f>
        <v>156646.23202060035</v>
      </c>
    </row>
    <row r="14" spans="1:8" ht="38.25" x14ac:dyDescent="0.2">
      <c r="A14" s="88">
        <v>3</v>
      </c>
      <c r="B14" s="88" t="str">
        <f>fiscal1236n!A6</f>
        <v>VIGILÂNCIA ARMADA NOTURNA - Vigilante Fiscal, 12:00h x 36:00h, TRAJE SOCIAL</v>
      </c>
      <c r="C14" s="74">
        <f>fiscal1236n!D156</f>
        <v>7645.3732082800916</v>
      </c>
      <c r="D14" s="88">
        <v>2</v>
      </c>
      <c r="E14" s="74">
        <f t="shared" ref="E14:E17" si="2">C14*D14</f>
        <v>15290.746416560183</v>
      </c>
      <c r="F14" s="88">
        <f>fiscal1236n!D6</f>
        <v>1</v>
      </c>
      <c r="G14" s="74">
        <f t="shared" si="0"/>
        <v>15290.746416560183</v>
      </c>
      <c r="H14" s="74">
        <f t="shared" si="1"/>
        <v>183488.95699872219</v>
      </c>
    </row>
    <row r="15" spans="1:8" ht="38.25" x14ac:dyDescent="0.2">
      <c r="A15" s="88">
        <v>4</v>
      </c>
      <c r="B15" s="88" t="str">
        <f>vig44ssasoc!A6</f>
        <v>VIGILÂNCIA ARMADA DIURNA - jornada de 44 horas semanais, TRAJE SOCIAL</v>
      </c>
      <c r="C15" s="74">
        <f>vig44ssasoc!D156</f>
        <v>5642.3841718880858</v>
      </c>
      <c r="D15" s="88">
        <v>1</v>
      </c>
      <c r="E15" s="74">
        <f t="shared" si="2"/>
        <v>5642.3841718880858</v>
      </c>
      <c r="F15" s="88">
        <f>vig44ssasoc!D6</f>
        <v>2</v>
      </c>
      <c r="G15" s="74">
        <f t="shared" si="0"/>
        <v>11284.768343776172</v>
      </c>
      <c r="H15" s="74">
        <f t="shared" si="1"/>
        <v>135417.22012531405</v>
      </c>
    </row>
    <row r="16" spans="1:8" ht="38.25" x14ac:dyDescent="0.2">
      <c r="A16" s="88">
        <v>5</v>
      </c>
      <c r="B16" s="88" t="str">
        <f>vig1236dssa!A6</f>
        <v>VIGILÂNCIA ARMADA DIURNA - 12:00h x 36:00h, FARDAMENTO TÁTICO</v>
      </c>
      <c r="C16" s="74">
        <f>vig1236dssa!D156</f>
        <v>5497.7444953542417</v>
      </c>
      <c r="D16" s="88">
        <v>2</v>
      </c>
      <c r="E16" s="74">
        <f t="shared" si="2"/>
        <v>10995.488990708483</v>
      </c>
      <c r="F16" s="88">
        <f>vig1236dssa!D6</f>
        <v>8</v>
      </c>
      <c r="G16" s="74">
        <f t="shared" si="0"/>
        <v>87963.911925667868</v>
      </c>
      <c r="H16" s="74">
        <f t="shared" si="1"/>
        <v>1055566.9431080143</v>
      </c>
    </row>
    <row r="17" spans="1:8" ht="38.25" x14ac:dyDescent="0.2">
      <c r="A17" s="88">
        <v>6</v>
      </c>
      <c r="B17" s="88" t="str">
        <f>vig1236nssa!A6</f>
        <v>VIGILÂNCIA ARMADA NOTURNA - 12:00h x 36:00h, FARDAMENTO TÁTICO</v>
      </c>
      <c r="C17" s="74">
        <f>vig1236nssa!D156</f>
        <v>6599.6733470890676</v>
      </c>
      <c r="D17" s="88">
        <v>2</v>
      </c>
      <c r="E17" s="74">
        <f t="shared" si="2"/>
        <v>13199.346694178135</v>
      </c>
      <c r="F17" s="88">
        <f>vig1236nssa!D6</f>
        <v>6</v>
      </c>
      <c r="G17" s="74">
        <f t="shared" si="0"/>
        <v>79196.080165068808</v>
      </c>
      <c r="H17" s="74">
        <f t="shared" si="1"/>
        <v>950352.96198082576</v>
      </c>
    </row>
    <row r="18" spans="1:8" x14ac:dyDescent="0.2">
      <c r="A18" s="117" t="s">
        <v>16</v>
      </c>
      <c r="B18" s="117"/>
      <c r="C18" s="117"/>
      <c r="D18" s="117"/>
      <c r="E18" s="117"/>
      <c r="F18" s="117"/>
      <c r="G18" s="117"/>
      <c r="H18" s="74">
        <f>SUM(H12:H17)</f>
        <v>2567886.4136039829</v>
      </c>
    </row>
    <row r="19" spans="1:8" x14ac:dyDescent="0.2">
      <c r="A19" s="40"/>
      <c r="B19" s="40"/>
      <c r="C19" s="40"/>
      <c r="D19" s="40"/>
      <c r="E19" s="40"/>
      <c r="F19" s="40"/>
      <c r="G19" s="40"/>
      <c r="H19" s="40"/>
    </row>
    <row r="20" spans="1:8" ht="52.5" customHeight="1" x14ac:dyDescent="0.2">
      <c r="A20" s="135" t="s">
        <v>210</v>
      </c>
      <c r="B20" s="135"/>
      <c r="C20" s="135"/>
      <c r="D20" s="135"/>
      <c r="E20" s="135"/>
      <c r="F20" s="135"/>
      <c r="G20" s="135"/>
      <c r="H20" s="135"/>
    </row>
    <row r="21" spans="1:8" ht="25.5" x14ac:dyDescent="0.2">
      <c r="A21" s="76" t="s">
        <v>154</v>
      </c>
      <c r="B21" s="76" t="s">
        <v>155</v>
      </c>
      <c r="C21" s="76" t="s">
        <v>156</v>
      </c>
      <c r="D21" s="76" t="s">
        <v>157</v>
      </c>
      <c r="E21" s="76" t="s">
        <v>158</v>
      </c>
      <c r="F21" s="76" t="s">
        <v>159</v>
      </c>
      <c r="G21" s="76" t="s">
        <v>160</v>
      </c>
      <c r="H21" s="76" t="s">
        <v>161</v>
      </c>
    </row>
    <row r="22" spans="1:8" ht="38.25" x14ac:dyDescent="0.2">
      <c r="A22" s="88">
        <v>7</v>
      </c>
      <c r="B22" s="88" t="str">
        <f>vig44int!A6</f>
        <v>VIGILÂNCIA ARMADA DIURNA - jornada de 44 horas semanais, FARDAMENTO TÁTICO</v>
      </c>
      <c r="C22" s="74">
        <f>vig44int!D156</f>
        <v>5628.27012278026</v>
      </c>
      <c r="D22" s="88">
        <v>1</v>
      </c>
      <c r="E22" s="74">
        <f>C22*D22</f>
        <v>5628.27012278026</v>
      </c>
      <c r="F22" s="88">
        <f>vig44int!D6</f>
        <v>43</v>
      </c>
      <c r="G22" s="74">
        <f>E22*F22</f>
        <v>242015.61527955119</v>
      </c>
      <c r="H22" s="74">
        <f>G22*12</f>
        <v>2904187.3833546145</v>
      </c>
    </row>
    <row r="23" spans="1:8" x14ac:dyDescent="0.2">
      <c r="A23" s="135" t="s">
        <v>184</v>
      </c>
      <c r="B23" s="135"/>
      <c r="C23" s="135"/>
      <c r="D23" s="135"/>
      <c r="E23" s="135"/>
      <c r="F23" s="135"/>
      <c r="G23" s="135"/>
      <c r="H23" s="135"/>
    </row>
    <row r="24" spans="1:8" ht="25.5" x14ac:dyDescent="0.2">
      <c r="A24" s="76" t="s">
        <v>154</v>
      </c>
      <c r="B24" s="76" t="s">
        <v>155</v>
      </c>
      <c r="C24" s="76" t="s">
        <v>156</v>
      </c>
      <c r="D24" s="76" t="s">
        <v>157</v>
      </c>
      <c r="E24" s="76" t="s">
        <v>158</v>
      </c>
      <c r="F24" s="76" t="s">
        <v>159</v>
      </c>
      <c r="G24" s="76" t="s">
        <v>160</v>
      </c>
      <c r="H24" s="76" t="s">
        <v>161</v>
      </c>
    </row>
    <row r="25" spans="1:8" ht="38.25" x14ac:dyDescent="0.2">
      <c r="A25" s="88">
        <v>8</v>
      </c>
      <c r="B25" s="88" t="str">
        <f>vig1236nint!A6</f>
        <v>VIGILÂNCIA ARMADA NOTURNA - 12:00h x 36:00h, FARDAMENTO TÁTICO</v>
      </c>
      <c r="C25" s="74">
        <f>vig1236nint!D156</f>
        <v>6551.160175660496</v>
      </c>
      <c r="D25" s="88">
        <v>2</v>
      </c>
      <c r="E25" s="74">
        <f>C25*D25</f>
        <v>13102.320351320992</v>
      </c>
      <c r="F25" s="88">
        <f>vig1236nint!D6</f>
        <v>6</v>
      </c>
      <c r="G25" s="74">
        <f t="shared" ref="G25:G28" si="3">E25*F25</f>
        <v>78613.922107925959</v>
      </c>
      <c r="H25" s="74">
        <f t="shared" ref="H25:H28" si="4">G25*12</f>
        <v>943367.0652951115</v>
      </c>
    </row>
    <row r="26" spans="1:8" x14ac:dyDescent="0.2">
      <c r="A26" s="135" t="s">
        <v>185</v>
      </c>
      <c r="B26" s="135"/>
      <c r="C26" s="135"/>
      <c r="D26" s="135"/>
      <c r="E26" s="135"/>
      <c r="F26" s="135"/>
      <c r="G26" s="135"/>
      <c r="H26" s="135"/>
    </row>
    <row r="27" spans="1:8" ht="25.5" x14ac:dyDescent="0.2">
      <c r="A27" s="76" t="s">
        <v>154</v>
      </c>
      <c r="B27" s="76" t="s">
        <v>155</v>
      </c>
      <c r="C27" s="76" t="s">
        <v>156</v>
      </c>
      <c r="D27" s="76" t="s">
        <v>157</v>
      </c>
      <c r="E27" s="76" t="s">
        <v>158</v>
      </c>
      <c r="F27" s="76" t="s">
        <v>159</v>
      </c>
      <c r="G27" s="76" t="s">
        <v>160</v>
      </c>
      <c r="H27" s="76" t="s">
        <v>161</v>
      </c>
    </row>
    <row r="28" spans="1:8" ht="38.25" x14ac:dyDescent="0.2">
      <c r="A28" s="88">
        <v>9</v>
      </c>
      <c r="B28" s="88" t="str">
        <f>vig1236dint!A6</f>
        <v>VIGILÂNCIA ARMADA DIURNA - 12:00h x 36:00h, FARDAMENTO TÁTICO</v>
      </c>
      <c r="C28" s="74">
        <f>vig1236dint!D156</f>
        <v>5449.2313239256709</v>
      </c>
      <c r="D28" s="88">
        <v>2</v>
      </c>
      <c r="E28" s="74">
        <f t="shared" ref="E28" si="5">C28*D28</f>
        <v>10898.462647851342</v>
      </c>
      <c r="F28" s="88">
        <f>vig1236dint!D6</f>
        <v>5</v>
      </c>
      <c r="G28" s="74">
        <f t="shared" si="3"/>
        <v>54492.313239256706</v>
      </c>
      <c r="H28" s="74">
        <f t="shared" si="4"/>
        <v>653907.75887108047</v>
      </c>
    </row>
    <row r="29" spans="1:8" x14ac:dyDescent="0.2">
      <c r="A29" s="117" t="s">
        <v>16</v>
      </c>
      <c r="B29" s="117"/>
      <c r="C29" s="117"/>
      <c r="D29" s="117"/>
      <c r="E29" s="117"/>
      <c r="F29" s="117"/>
      <c r="G29" s="117"/>
      <c r="H29" s="74">
        <f>SUM(H22,H25,H28)</f>
        <v>4501462.2075208062</v>
      </c>
    </row>
    <row r="30" spans="1:8" x14ac:dyDescent="0.2">
      <c r="A30" s="40"/>
      <c r="B30" s="40"/>
      <c r="C30" s="40"/>
      <c r="D30" s="40"/>
      <c r="E30" s="40"/>
      <c r="F30" s="40"/>
      <c r="G30" s="40"/>
      <c r="H30" s="40"/>
    </row>
    <row r="31" spans="1:8" x14ac:dyDescent="0.2">
      <c r="A31" s="136" t="s">
        <v>163</v>
      </c>
      <c r="B31" s="136"/>
      <c r="C31" s="136"/>
      <c r="D31" s="136"/>
      <c r="E31" s="136"/>
      <c r="F31" s="136"/>
      <c r="G31" s="136"/>
      <c r="H31" s="136"/>
    </row>
    <row r="32" spans="1:8" ht="25.5" x14ac:dyDescent="0.2">
      <c r="A32" s="76" t="s">
        <v>154</v>
      </c>
      <c r="B32" s="76" t="s">
        <v>155</v>
      </c>
      <c r="C32" s="76" t="s">
        <v>156</v>
      </c>
      <c r="D32" s="76" t="s">
        <v>157</v>
      </c>
      <c r="E32" s="76" t="s">
        <v>158</v>
      </c>
      <c r="F32" s="76" t="s">
        <v>159</v>
      </c>
      <c r="G32" s="76" t="s">
        <v>160</v>
      </c>
      <c r="H32" s="76" t="s">
        <v>164</v>
      </c>
    </row>
    <row r="33" spans="1:11" ht="51" x14ac:dyDescent="0.2">
      <c r="A33" s="88">
        <v>10</v>
      </c>
      <c r="B33" s="88" t="str">
        <f>vig44ssatat_ad!A6</f>
        <v>VIGILÂNCIA ARMADA DIURNA - jornada de 44 horas semanais, FARDAMENTO TÁTICO - postos adicionais, Capital</v>
      </c>
      <c r="C33" s="74">
        <f>vig44ssatat_ad!D156</f>
        <v>5617.2994132600988</v>
      </c>
      <c r="D33" s="88">
        <v>1</v>
      </c>
      <c r="E33" s="74">
        <f t="shared" ref="E33" si="6">C33*D33</f>
        <v>5617.2994132600988</v>
      </c>
      <c r="F33" s="88">
        <v>4</v>
      </c>
      <c r="G33" s="74">
        <f t="shared" ref="G33" si="7">E33*F33</f>
        <v>22469.197653040395</v>
      </c>
      <c r="H33" s="74">
        <f>((G33*12)*(10/365))</f>
        <v>7387.1334749721846</v>
      </c>
    </row>
    <row r="34" spans="1:11" x14ac:dyDescent="0.2">
      <c r="A34" s="40"/>
      <c r="B34" s="40"/>
      <c r="C34" s="40"/>
      <c r="D34" s="40"/>
      <c r="E34" s="40"/>
      <c r="F34" s="40"/>
      <c r="G34" s="40"/>
      <c r="H34" s="61"/>
    </row>
    <row r="35" spans="1:11" x14ac:dyDescent="0.2">
      <c r="A35" s="136" t="s">
        <v>165</v>
      </c>
      <c r="B35" s="136"/>
      <c r="C35" s="136"/>
      <c r="D35" s="136"/>
      <c r="E35" s="136"/>
      <c r="F35" s="136"/>
      <c r="G35" s="136"/>
      <c r="H35" s="136"/>
    </row>
    <row r="36" spans="1:11" ht="25.5" x14ac:dyDescent="0.2">
      <c r="A36" s="76" t="s">
        <v>154</v>
      </c>
      <c r="B36" s="76" t="s">
        <v>155</v>
      </c>
      <c r="C36" s="76" t="s">
        <v>156</v>
      </c>
      <c r="D36" s="76" t="s">
        <v>157</v>
      </c>
      <c r="E36" s="76" t="s">
        <v>158</v>
      </c>
      <c r="F36" s="76" t="s">
        <v>159</v>
      </c>
      <c r="G36" s="76" t="s">
        <v>160</v>
      </c>
      <c r="H36" s="76" t="s">
        <v>166</v>
      </c>
    </row>
    <row r="37" spans="1:11" ht="51" x14ac:dyDescent="0.2">
      <c r="A37" s="88">
        <v>11</v>
      </c>
      <c r="B37" s="88" t="str">
        <f>vig44ssatat_ad!A6</f>
        <v>VIGILÂNCIA ARMADA DIURNA - jornada de 44 horas semanais, FARDAMENTO TÁTICO - postos adicionais, Capital</v>
      </c>
      <c r="C37" s="74">
        <f>vig44ssatat_ad!D156</f>
        <v>5617.2994132600988</v>
      </c>
      <c r="D37" s="88">
        <v>1</v>
      </c>
      <c r="E37" s="74">
        <f t="shared" ref="E37" si="8">C37*D37</f>
        <v>5617.2994132600988</v>
      </c>
      <c r="F37" s="88">
        <v>6</v>
      </c>
      <c r="G37" s="74">
        <f t="shared" ref="G37" si="9">E37*F37</f>
        <v>33703.796479560595</v>
      </c>
      <c r="H37" s="74">
        <f>((G37*12)*(53/365))</f>
        <v>58727.711126028866</v>
      </c>
    </row>
    <row r="38" spans="1:11" x14ac:dyDescent="0.2">
      <c r="A38" s="40"/>
      <c r="B38" s="40"/>
      <c r="C38" s="40"/>
      <c r="D38" s="40"/>
      <c r="E38" s="40"/>
      <c r="F38" s="40"/>
      <c r="G38" s="40"/>
      <c r="H38" s="40"/>
    </row>
    <row r="39" spans="1:11" x14ac:dyDescent="0.2">
      <c r="A39" s="136" t="s">
        <v>167</v>
      </c>
      <c r="B39" s="136"/>
      <c r="C39" s="136"/>
      <c r="D39" s="136"/>
      <c r="E39" s="136"/>
      <c r="F39" s="136"/>
      <c r="G39" s="136"/>
      <c r="H39" s="136"/>
    </row>
    <row r="40" spans="1:11" ht="25.5" x14ac:dyDescent="0.2">
      <c r="A40" s="76" t="s">
        <v>154</v>
      </c>
      <c r="B40" s="76" t="s">
        <v>155</v>
      </c>
      <c r="C40" s="76" t="s">
        <v>156</v>
      </c>
      <c r="D40" s="76" t="s">
        <v>157</v>
      </c>
      <c r="E40" s="76" t="s">
        <v>158</v>
      </c>
      <c r="F40" s="76" t="s">
        <v>159</v>
      </c>
      <c r="G40" s="76" t="s">
        <v>160</v>
      </c>
      <c r="H40" s="76" t="s">
        <v>164</v>
      </c>
    </row>
    <row r="41" spans="1:11" ht="51" x14ac:dyDescent="0.2">
      <c r="A41" s="88">
        <v>12</v>
      </c>
      <c r="B41" s="88" t="str">
        <f>vig44int_ad!A6</f>
        <v>VIGILÂNCIA ARMADA DIURNA - jornada de 44 horas semanais, FARDAMENTO TÁTICO - postos adicionais, Interior</v>
      </c>
      <c r="C41" s="74">
        <f>vig44int_ad!D156</f>
        <v>5547.1256993903671</v>
      </c>
      <c r="D41" s="88">
        <v>1</v>
      </c>
      <c r="E41" s="74">
        <f t="shared" ref="E41" si="10">C41*D41</f>
        <v>5547.1256993903671</v>
      </c>
      <c r="F41" s="88">
        <v>44</v>
      </c>
      <c r="G41" s="74">
        <f t="shared" ref="G41" si="11">E41*F41</f>
        <v>244073.53077317614</v>
      </c>
      <c r="H41" s="74">
        <f>((G41*12)*(10/365))</f>
        <v>80243.352582962019</v>
      </c>
    </row>
    <row r="42" spans="1:11" x14ac:dyDescent="0.2">
      <c r="A42" s="40"/>
      <c r="B42" s="40"/>
      <c r="C42" s="40"/>
      <c r="D42" s="40"/>
      <c r="E42" s="40"/>
      <c r="F42" s="40"/>
      <c r="G42" s="91"/>
      <c r="H42" s="40"/>
      <c r="K42" s="92"/>
    </row>
    <row r="43" spans="1:11" x14ac:dyDescent="0.2">
      <c r="A43" s="136" t="s">
        <v>188</v>
      </c>
      <c r="B43" s="136"/>
      <c r="C43" s="136"/>
      <c r="D43" s="136"/>
      <c r="E43" s="136"/>
      <c r="F43" s="136"/>
      <c r="G43" s="136"/>
      <c r="H43" s="136"/>
      <c r="K43" s="92"/>
    </row>
    <row r="44" spans="1:11" ht="25.5" x14ac:dyDescent="0.2">
      <c r="A44" s="76" t="s">
        <v>154</v>
      </c>
      <c r="B44" s="76" t="s">
        <v>155</v>
      </c>
      <c r="C44" s="76" t="s">
        <v>156</v>
      </c>
      <c r="D44" s="76" t="s">
        <v>157</v>
      </c>
      <c r="E44" s="76" t="s">
        <v>158</v>
      </c>
      <c r="F44" s="76" t="s">
        <v>159</v>
      </c>
      <c r="G44" s="76" t="s">
        <v>160</v>
      </c>
      <c r="H44" s="76" t="s">
        <v>187</v>
      </c>
    </row>
    <row r="45" spans="1:11" ht="51" x14ac:dyDescent="0.2">
      <c r="A45" s="88">
        <v>13</v>
      </c>
      <c r="B45" s="88" t="str">
        <f>vig44int_ad!A6</f>
        <v>VIGILÂNCIA ARMADA DIURNA - jornada de 44 horas semanais, FARDAMENTO TÁTICO - postos adicionais, Interior</v>
      </c>
      <c r="C45" s="74">
        <f>vig44int_ad!D156</f>
        <v>5547.1256993903671</v>
      </c>
      <c r="D45" s="88">
        <v>1</v>
      </c>
      <c r="E45" s="74">
        <f t="shared" ref="E45" si="12">C45*D45</f>
        <v>5547.1256993903671</v>
      </c>
      <c r="F45" s="88">
        <v>44</v>
      </c>
      <c r="G45" s="74">
        <f t="shared" ref="G45" si="13">E45*F45</f>
        <v>244073.53077317614</v>
      </c>
      <c r="H45" s="74">
        <f>((G45*12)*(51/365))</f>
        <v>409241.09817310632</v>
      </c>
    </row>
    <row r="46" spans="1:11" x14ac:dyDescent="0.2">
      <c r="A46" s="40"/>
      <c r="B46" s="40"/>
      <c r="C46" s="40"/>
      <c r="D46" s="40"/>
      <c r="E46" s="40"/>
      <c r="F46" s="40"/>
      <c r="G46" s="40"/>
      <c r="H46" s="40"/>
    </row>
    <row r="47" spans="1:11" x14ac:dyDescent="0.2">
      <c r="A47" s="136" t="s">
        <v>192</v>
      </c>
      <c r="B47" s="136"/>
      <c r="C47" s="136"/>
      <c r="D47" s="136"/>
      <c r="E47" s="136"/>
      <c r="F47" s="136"/>
      <c r="G47" s="136"/>
      <c r="H47" s="136"/>
    </row>
    <row r="48" spans="1:11" ht="25.5" x14ac:dyDescent="0.2">
      <c r="A48" s="76" t="s">
        <v>154</v>
      </c>
      <c r="B48" s="76" t="s">
        <v>155</v>
      </c>
      <c r="C48" s="76" t="s">
        <v>156</v>
      </c>
      <c r="D48" s="76" t="s">
        <v>157</v>
      </c>
      <c r="E48" s="76" t="s">
        <v>158</v>
      </c>
      <c r="F48" s="76" t="s">
        <v>195</v>
      </c>
      <c r="G48" s="76" t="s">
        <v>160</v>
      </c>
      <c r="H48" s="76" t="s">
        <v>193</v>
      </c>
    </row>
    <row r="49" spans="1:8" ht="51" x14ac:dyDescent="0.2">
      <c r="A49" s="88">
        <v>14</v>
      </c>
      <c r="B49" s="88" t="str">
        <f>vig44int_ad!A6</f>
        <v>VIGILÂNCIA ARMADA DIURNA - jornada de 44 horas semanais, FARDAMENTO TÁTICO - postos adicionais, Interior</v>
      </c>
      <c r="C49" s="74">
        <f>vig44int_ad!D156</f>
        <v>5547.1256993903671</v>
      </c>
      <c r="D49" s="88">
        <v>1</v>
      </c>
      <c r="E49" s="74">
        <f t="shared" ref="E49" si="14">C49*D49</f>
        <v>5547.1256993903671</v>
      </c>
      <c r="F49" s="88">
        <v>44</v>
      </c>
      <c r="G49" s="74">
        <f t="shared" ref="G49" si="15">E49*F49</f>
        <v>244073.53077317614</v>
      </c>
      <c r="H49" s="74">
        <f>((G49*12)*(21/365))</f>
        <v>168511.04042422023</v>
      </c>
    </row>
    <row r="50" spans="1:8" x14ac:dyDescent="0.2">
      <c r="A50" s="40"/>
      <c r="B50" s="40"/>
      <c r="C50" s="40"/>
      <c r="D50" s="40"/>
      <c r="E50" s="40"/>
      <c r="F50" s="40"/>
      <c r="G50" s="40"/>
      <c r="H50" s="40"/>
    </row>
    <row r="51" spans="1:8" ht="24.95" customHeight="1" x14ac:dyDescent="0.2">
      <c r="A51" s="136" t="s">
        <v>196</v>
      </c>
      <c r="B51" s="136"/>
      <c r="C51" s="136"/>
      <c r="D51" s="136"/>
      <c r="E51" s="136"/>
      <c r="F51" s="136"/>
      <c r="G51" s="136"/>
      <c r="H51" s="136"/>
    </row>
    <row r="52" spans="1:8" ht="25.5" x14ac:dyDescent="0.2">
      <c r="A52" s="76" t="s">
        <v>154</v>
      </c>
      <c r="B52" s="76" t="s">
        <v>155</v>
      </c>
      <c r="C52" s="76" t="s">
        <v>156</v>
      </c>
      <c r="D52" s="76" t="s">
        <v>157</v>
      </c>
      <c r="E52" s="76" t="s">
        <v>158</v>
      </c>
      <c r="F52" s="76" t="s">
        <v>159</v>
      </c>
      <c r="G52" s="76" t="s">
        <v>160</v>
      </c>
      <c r="H52" s="76" t="s">
        <v>197</v>
      </c>
    </row>
    <row r="53" spans="1:8" ht="38.25" x14ac:dyDescent="0.2">
      <c r="A53" s="88">
        <v>15</v>
      </c>
      <c r="B53" s="88" t="str">
        <f>vig1236dint_ad!A6</f>
        <v>VIGILÂNCIA ARMADA DIURNA - 12:00h x 36:00h, FARDAMENTO TÁTICO - postos adicionais, Interior</v>
      </c>
      <c r="C53" s="74">
        <f>vig1236dint_ad!D156</f>
        <v>5355.7613744784894</v>
      </c>
      <c r="D53" s="88">
        <v>2</v>
      </c>
      <c r="E53" s="74">
        <f t="shared" ref="E53:E54" si="16">C53*D53</f>
        <v>10711.522748956979</v>
      </c>
      <c r="F53" s="88">
        <v>6</v>
      </c>
      <c r="G53" s="74">
        <f t="shared" ref="G53:G54" si="17">E53*F53</f>
        <v>64269.136493741869</v>
      </c>
      <c r="H53" s="74">
        <f>((G53*12)*(122/365))</f>
        <v>257780.86527900849</v>
      </c>
    </row>
    <row r="54" spans="1:8" ht="38.25" x14ac:dyDescent="0.2">
      <c r="A54" s="88">
        <v>16</v>
      </c>
      <c r="B54" s="88" t="str">
        <f>vig1236nint_ad!A6</f>
        <v>VIGILÂNCIA ARMADA NOTURNA - 12:00h x 36:00h, FARDAMENTO TÁTICO - postos adicionais, Interior</v>
      </c>
      <c r="C54" s="74">
        <f>vig1236nint_ad!D156</f>
        <v>6452.1016079976616</v>
      </c>
      <c r="D54" s="88">
        <v>2</v>
      </c>
      <c r="E54" s="74">
        <f t="shared" si="16"/>
        <v>12904.203215995323</v>
      </c>
      <c r="F54" s="88">
        <v>6</v>
      </c>
      <c r="G54" s="74">
        <f t="shared" si="17"/>
        <v>77425.21929597194</v>
      </c>
      <c r="H54" s="74">
        <f>((G54*12)*(122/365))</f>
        <v>310549.37273781624</v>
      </c>
    </row>
    <row r="55" spans="1:8" x14ac:dyDescent="0.2">
      <c r="A55" s="117" t="s">
        <v>16</v>
      </c>
      <c r="B55" s="117"/>
      <c r="C55" s="117"/>
      <c r="D55" s="117"/>
      <c r="E55" s="117"/>
      <c r="F55" s="117"/>
      <c r="G55" s="117"/>
      <c r="H55" s="74">
        <f>SUM(H53:H54)</f>
        <v>568330.2380168247</v>
      </c>
    </row>
    <row r="56" spans="1:8" x14ac:dyDescent="0.2">
      <c r="A56" s="40"/>
      <c r="B56" s="40"/>
      <c r="C56" s="40"/>
      <c r="D56" s="40"/>
      <c r="E56" s="40"/>
      <c r="F56" s="40"/>
      <c r="G56" s="40"/>
      <c r="H56" s="40"/>
    </row>
    <row r="57" spans="1:8" x14ac:dyDescent="0.2">
      <c r="A57" s="141" t="s">
        <v>199</v>
      </c>
      <c r="B57" s="142"/>
      <c r="C57" s="142"/>
      <c r="D57" s="142"/>
      <c r="E57" s="142"/>
      <c r="F57" s="142"/>
      <c r="G57" s="142"/>
      <c r="H57" s="142"/>
    </row>
    <row r="58" spans="1:8" x14ac:dyDescent="0.2">
      <c r="A58" s="124" t="s">
        <v>169</v>
      </c>
      <c r="B58" s="124"/>
      <c r="C58" s="124"/>
      <c r="D58" s="124" t="s">
        <v>135</v>
      </c>
      <c r="E58" s="124"/>
      <c r="F58" s="124"/>
      <c r="G58" s="124"/>
      <c r="H58" s="139" t="s">
        <v>198</v>
      </c>
    </row>
    <row r="59" spans="1:8" x14ac:dyDescent="0.2">
      <c r="A59" s="90" t="s">
        <v>126</v>
      </c>
      <c r="B59" s="90" t="s">
        <v>170</v>
      </c>
      <c r="C59" s="62">
        <f>H18</f>
        <v>2567886.4136039829</v>
      </c>
      <c r="D59" s="90" t="s">
        <v>126</v>
      </c>
      <c r="E59" s="133" t="s">
        <v>170</v>
      </c>
      <c r="F59" s="133"/>
      <c r="G59" s="62">
        <f>H18</f>
        <v>2567886.4136039829</v>
      </c>
      <c r="H59" s="139"/>
    </row>
    <row r="60" spans="1:8" x14ac:dyDescent="0.2">
      <c r="A60" s="90" t="s">
        <v>134</v>
      </c>
      <c r="B60" s="90" t="s">
        <v>170</v>
      </c>
      <c r="C60" s="62">
        <f>H29</f>
        <v>4501462.2075208062</v>
      </c>
      <c r="D60" s="90" t="s">
        <v>126</v>
      </c>
      <c r="E60" s="133" t="s">
        <v>171</v>
      </c>
      <c r="F60" s="133"/>
      <c r="G60" s="62">
        <f>H33</f>
        <v>7387.1334749721846</v>
      </c>
      <c r="H60" s="139"/>
    </row>
    <row r="61" spans="1:8" x14ac:dyDescent="0.2">
      <c r="A61" s="63"/>
      <c r="B61" s="64"/>
      <c r="C61" s="65"/>
      <c r="D61" s="90" t="s">
        <v>126</v>
      </c>
      <c r="E61" s="133" t="s">
        <v>172</v>
      </c>
      <c r="F61" s="133"/>
      <c r="G61" s="62">
        <f>H37</f>
        <v>58727.711126028866</v>
      </c>
      <c r="H61" s="139"/>
    </row>
    <row r="62" spans="1:8" x14ac:dyDescent="0.2">
      <c r="A62" s="66"/>
      <c r="B62" s="67"/>
      <c r="C62" s="68"/>
      <c r="D62" s="90" t="s">
        <v>126</v>
      </c>
      <c r="E62" s="133" t="s">
        <v>173</v>
      </c>
      <c r="F62" s="133"/>
      <c r="G62" s="62">
        <f>horaextra2026!D43</f>
        <v>14405.098499999998</v>
      </c>
      <c r="H62" s="139"/>
    </row>
    <row r="63" spans="1:8" x14ac:dyDescent="0.2">
      <c r="A63" s="66"/>
      <c r="B63" s="67"/>
      <c r="C63" s="69"/>
      <c r="D63" s="90" t="s">
        <v>134</v>
      </c>
      <c r="E63" s="133" t="s">
        <v>170</v>
      </c>
      <c r="F63" s="133"/>
      <c r="G63" s="62">
        <f>H29</f>
        <v>4501462.2075208062</v>
      </c>
      <c r="H63" s="139"/>
    </row>
    <row r="64" spans="1:8" x14ac:dyDescent="0.2">
      <c r="A64" s="66"/>
      <c r="B64" s="67"/>
      <c r="C64" s="69"/>
      <c r="D64" s="90" t="s">
        <v>134</v>
      </c>
      <c r="E64" s="133" t="s">
        <v>171</v>
      </c>
      <c r="F64" s="133"/>
      <c r="G64" s="62">
        <f>H41</f>
        <v>80243.352582962019</v>
      </c>
      <c r="H64" s="140">
        <f>C68+G68</f>
        <v>15533351.096547693</v>
      </c>
    </row>
    <row r="65" spans="1:8" x14ac:dyDescent="0.2">
      <c r="A65" s="66"/>
      <c r="B65" s="67"/>
      <c r="C65" s="69"/>
      <c r="D65" s="90" t="s">
        <v>134</v>
      </c>
      <c r="E65" s="133" t="s">
        <v>200</v>
      </c>
      <c r="F65" s="133"/>
      <c r="G65" s="62">
        <f>H45+H49</f>
        <v>577752.13859732659</v>
      </c>
      <c r="H65" s="140"/>
    </row>
    <row r="66" spans="1:8" x14ac:dyDescent="0.2">
      <c r="A66" s="66"/>
      <c r="B66" s="67"/>
      <c r="C66" s="69"/>
      <c r="D66" s="90" t="s">
        <v>134</v>
      </c>
      <c r="E66" s="133" t="s">
        <v>201</v>
      </c>
      <c r="F66" s="133"/>
      <c r="G66" s="62">
        <f>H55</f>
        <v>568330.2380168247</v>
      </c>
      <c r="H66" s="140"/>
    </row>
    <row r="67" spans="1:8" x14ac:dyDescent="0.2">
      <c r="A67" s="70"/>
      <c r="B67" s="71"/>
      <c r="C67" s="72"/>
      <c r="D67" s="90" t="s">
        <v>134</v>
      </c>
      <c r="E67" s="133" t="s">
        <v>202</v>
      </c>
      <c r="F67" s="133"/>
      <c r="G67" s="62">
        <f>horaextra2026!G43</f>
        <v>87808.181999999986</v>
      </c>
      <c r="H67" s="140"/>
    </row>
    <row r="68" spans="1:8" x14ac:dyDescent="0.2">
      <c r="A68" s="138" t="s">
        <v>176</v>
      </c>
      <c r="B68" s="138"/>
      <c r="C68" s="75">
        <f>SUM(C59:C60)</f>
        <v>7069348.6211247891</v>
      </c>
      <c r="D68" s="138" t="s">
        <v>175</v>
      </c>
      <c r="E68" s="138"/>
      <c r="F68" s="138"/>
      <c r="G68" s="75">
        <f>SUM(G59:G67)</f>
        <v>8464002.4754229039</v>
      </c>
      <c r="H68" s="140"/>
    </row>
  </sheetData>
  <mergeCells count="30">
    <mergeCell ref="A47:H47"/>
    <mergeCell ref="A8:H8"/>
    <mergeCell ref="A10:H10"/>
    <mergeCell ref="A18:G18"/>
    <mergeCell ref="A20:H20"/>
    <mergeCell ref="A23:H23"/>
    <mergeCell ref="A26:H26"/>
    <mergeCell ref="A29:G29"/>
    <mergeCell ref="A31:H31"/>
    <mergeCell ref="A35:H35"/>
    <mergeCell ref="A39:H39"/>
    <mergeCell ref="A43:H43"/>
    <mergeCell ref="A51:H51"/>
    <mergeCell ref="A55:G55"/>
    <mergeCell ref="A57:H57"/>
    <mergeCell ref="A58:C58"/>
    <mergeCell ref="D58:G58"/>
    <mergeCell ref="H58:H63"/>
    <mergeCell ref="E59:F59"/>
    <mergeCell ref="E60:F60"/>
    <mergeCell ref="E61:F61"/>
    <mergeCell ref="E62:F62"/>
    <mergeCell ref="A68:B68"/>
    <mergeCell ref="D68:F68"/>
    <mergeCell ref="E63:F63"/>
    <mergeCell ref="E64:F64"/>
    <mergeCell ref="H64:H68"/>
    <mergeCell ref="E65:F65"/>
    <mergeCell ref="E66:F66"/>
    <mergeCell ref="E67:F67"/>
  </mergeCells>
  <printOptions horizontalCentered="1"/>
  <pageMargins left="0.51181102362204722" right="0.51181102362204722" top="0.78740157480314965" bottom="0.78740157480314965" header="0.31496062992125984" footer="0.31496062992125984"/>
  <pageSetup paperSize="9" fitToHeight="0" orientation="landscape" r:id="rId1"/>
  <headerFooter>
    <oddFooter>&amp;L&amp;"Times New Roman,Negrito"Estimativa em &amp;D</oddFooter>
  </headerFooter>
  <rowBreaks count="4" manualBreakCount="4">
    <brk id="18" max="16383" man="1"/>
    <brk id="29" max="16383" man="1"/>
    <brk id="41" max="16383" man="1"/>
    <brk id="55" max="7"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56"/>
  <sheetViews>
    <sheetView zoomScale="115" zoomScaleNormal="115" workbookViewId="0">
      <selection activeCell="F15" sqref="F15:G15"/>
    </sheetView>
  </sheetViews>
  <sheetFormatPr defaultRowHeight="12.75" x14ac:dyDescent="0.2"/>
  <cols>
    <col min="1" max="1" width="9.140625" style="1"/>
    <col min="2" max="2" width="60.28515625" style="1" customWidth="1"/>
    <col min="3" max="3" width="18" style="1" customWidth="1"/>
    <col min="4" max="4" width="21.42578125" style="1" customWidth="1"/>
    <col min="5" max="5" width="15.140625" style="1" customWidth="1"/>
    <col min="6" max="16384" width="9.140625" style="1"/>
  </cols>
  <sheetData>
    <row r="1" spans="1:4" ht="15.75" x14ac:dyDescent="0.25">
      <c r="A1" s="111" t="s">
        <v>0</v>
      </c>
      <c r="B1" s="111"/>
      <c r="C1" s="111"/>
      <c r="D1" s="111"/>
    </row>
    <row r="2" spans="1:4" ht="15.75" x14ac:dyDescent="0.25">
      <c r="A2" s="24"/>
      <c r="B2" s="24"/>
      <c r="C2" s="24"/>
      <c r="D2" s="24"/>
    </row>
    <row r="3" spans="1:4" x14ac:dyDescent="0.2">
      <c r="A3" s="106" t="s">
        <v>89</v>
      </c>
      <c r="B3" s="106"/>
      <c r="C3" s="106"/>
      <c r="D3" s="106"/>
    </row>
    <row r="4" spans="1:4" x14ac:dyDescent="0.2">
      <c r="A4" s="2"/>
      <c r="B4" s="2"/>
      <c r="C4" s="2"/>
      <c r="D4" s="2"/>
    </row>
    <row r="5" spans="1:4" ht="38.25" x14ac:dyDescent="0.2">
      <c r="A5" s="113" t="s">
        <v>90</v>
      </c>
      <c r="B5" s="113"/>
      <c r="C5" s="27" t="s">
        <v>91</v>
      </c>
      <c r="D5" s="25" t="s">
        <v>92</v>
      </c>
    </row>
    <row r="6" spans="1:4" ht="25.5" customHeight="1" x14ac:dyDescent="0.2">
      <c r="A6" s="101" t="s">
        <v>106</v>
      </c>
      <c r="B6" s="102"/>
      <c r="C6" s="35" t="s">
        <v>100</v>
      </c>
      <c r="D6" s="35">
        <v>1</v>
      </c>
    </row>
    <row r="8" spans="1:4" x14ac:dyDescent="0.2">
      <c r="A8" s="106" t="s">
        <v>73</v>
      </c>
      <c r="B8" s="106"/>
      <c r="C8" s="106"/>
      <c r="D8" s="106"/>
    </row>
    <row r="9" spans="1:4" x14ac:dyDescent="0.2">
      <c r="A9" s="2"/>
      <c r="B9" s="2"/>
      <c r="C9" s="2"/>
      <c r="D9" s="2"/>
    </row>
    <row r="10" spans="1:4" x14ac:dyDescent="0.2">
      <c r="A10" s="5">
        <v>1</v>
      </c>
      <c r="B10" s="5" t="s">
        <v>74</v>
      </c>
      <c r="C10" s="103" t="s">
        <v>107</v>
      </c>
      <c r="D10" s="104"/>
    </row>
    <row r="11" spans="1:4" x14ac:dyDescent="0.2">
      <c r="A11" s="5">
        <v>2</v>
      </c>
      <c r="B11" s="5" t="s">
        <v>93</v>
      </c>
      <c r="C11" s="103">
        <v>517330</v>
      </c>
      <c r="D11" s="104"/>
    </row>
    <row r="12" spans="1:4" x14ac:dyDescent="0.2">
      <c r="A12" s="5">
        <v>3</v>
      </c>
      <c r="B12" s="5" t="s">
        <v>75</v>
      </c>
      <c r="C12" s="103">
        <v>1471.22</v>
      </c>
      <c r="D12" s="104"/>
    </row>
    <row r="13" spans="1:4" x14ac:dyDescent="0.2">
      <c r="A13" s="5">
        <v>4</v>
      </c>
      <c r="B13" s="5" t="s">
        <v>76</v>
      </c>
      <c r="C13" s="103" t="s">
        <v>102</v>
      </c>
      <c r="D13" s="104"/>
    </row>
    <row r="14" spans="1:4" x14ac:dyDescent="0.2">
      <c r="A14" s="5">
        <v>5</v>
      </c>
      <c r="B14" s="5" t="s">
        <v>77</v>
      </c>
      <c r="C14" s="105">
        <v>45292</v>
      </c>
      <c r="D14" s="104"/>
    </row>
    <row r="16" spans="1:4" x14ac:dyDescent="0.2">
      <c r="A16" s="106" t="s">
        <v>1</v>
      </c>
      <c r="B16" s="106"/>
      <c r="C16" s="106"/>
      <c r="D16" s="106"/>
    </row>
    <row r="18" spans="1:4" x14ac:dyDescent="0.2">
      <c r="A18" s="28">
        <v>1</v>
      </c>
      <c r="B18" s="98" t="s">
        <v>2</v>
      </c>
      <c r="C18" s="98"/>
      <c r="D18" s="28" t="s">
        <v>3</v>
      </c>
    </row>
    <row r="19" spans="1:4" x14ac:dyDescent="0.2">
      <c r="A19" s="27" t="s">
        <v>4</v>
      </c>
      <c r="B19" s="100" t="s">
        <v>5</v>
      </c>
      <c r="C19" s="100"/>
      <c r="D19" s="13">
        <v>1471.22</v>
      </c>
    </row>
    <row r="20" spans="1:4" x14ac:dyDescent="0.2">
      <c r="A20" s="27" t="s">
        <v>6</v>
      </c>
      <c r="B20" s="100" t="s">
        <v>7</v>
      </c>
      <c r="C20" s="100"/>
      <c r="D20" s="13">
        <f>D19*0.3</f>
        <v>441.36599999999999</v>
      </c>
    </row>
    <row r="21" spans="1:4" x14ac:dyDescent="0.2">
      <c r="A21" s="27" t="s">
        <v>8</v>
      </c>
      <c r="B21" s="100" t="s">
        <v>9</v>
      </c>
      <c r="C21" s="100"/>
      <c r="D21" s="13"/>
    </row>
    <row r="22" spans="1:4" x14ac:dyDescent="0.2">
      <c r="A22" s="27" t="s">
        <v>10</v>
      </c>
      <c r="B22" s="100" t="s">
        <v>11</v>
      </c>
      <c r="C22" s="100"/>
      <c r="D22" s="13"/>
    </row>
    <row r="23" spans="1:4" x14ac:dyDescent="0.2">
      <c r="A23" s="27" t="s">
        <v>12</v>
      </c>
      <c r="B23" s="100" t="s">
        <v>13</v>
      </c>
      <c r="C23" s="100"/>
      <c r="D23" s="13"/>
    </row>
    <row r="24" spans="1:4" x14ac:dyDescent="0.2">
      <c r="A24" s="27" t="s">
        <v>31</v>
      </c>
      <c r="B24" s="100" t="s">
        <v>108</v>
      </c>
      <c r="C24" s="100"/>
      <c r="D24" s="13">
        <f>D19*0.35</f>
        <v>514.92700000000002</v>
      </c>
    </row>
    <row r="25" spans="1:4" x14ac:dyDescent="0.2">
      <c r="A25" s="27" t="s">
        <v>14</v>
      </c>
      <c r="B25" s="100" t="s">
        <v>15</v>
      </c>
      <c r="C25" s="100"/>
      <c r="D25" s="13"/>
    </row>
    <row r="26" spans="1:4" x14ac:dyDescent="0.2">
      <c r="A26" s="98" t="s">
        <v>16</v>
      </c>
      <c r="B26" s="98"/>
      <c r="C26" s="98"/>
      <c r="D26" s="18">
        <f>SUM(D19:D25)</f>
        <v>2427.5129999999999</v>
      </c>
    </row>
    <row r="29" spans="1:4" x14ac:dyDescent="0.2">
      <c r="A29" s="99" t="s">
        <v>17</v>
      </c>
      <c r="B29" s="99"/>
      <c r="C29" s="99"/>
      <c r="D29" s="99"/>
    </row>
    <row r="30" spans="1:4" x14ac:dyDescent="0.2">
      <c r="A30" s="3"/>
    </row>
    <row r="31" spans="1:4" x14ac:dyDescent="0.2">
      <c r="A31" s="96" t="s">
        <v>18</v>
      </c>
      <c r="B31" s="96"/>
      <c r="C31" s="96"/>
      <c r="D31" s="96"/>
    </row>
    <row r="33" spans="1:4" x14ac:dyDescent="0.2">
      <c r="A33" s="28" t="s">
        <v>19</v>
      </c>
      <c r="B33" s="98" t="s">
        <v>20</v>
      </c>
      <c r="C33" s="98"/>
      <c r="D33" s="28" t="s">
        <v>3</v>
      </c>
    </row>
    <row r="34" spans="1:4" x14ac:dyDescent="0.2">
      <c r="A34" s="27" t="s">
        <v>4</v>
      </c>
      <c r="B34" s="29" t="s">
        <v>21</v>
      </c>
      <c r="C34" s="12">
        <f>TRUNC(1/12,4)</f>
        <v>8.3299999999999999E-2</v>
      </c>
      <c r="D34" s="13">
        <f>TRUNC($D$26*C34,2)</f>
        <v>202.21</v>
      </c>
    </row>
    <row r="35" spans="1:4" x14ac:dyDescent="0.2">
      <c r="A35" s="27" t="s">
        <v>6</v>
      </c>
      <c r="B35" s="29" t="s">
        <v>117</v>
      </c>
      <c r="C35" s="12">
        <f>TRUNC(((1)/12),4)</f>
        <v>8.3299999999999999E-2</v>
      </c>
      <c r="D35" s="13">
        <f>TRUNC($D$26*C35,2)</f>
        <v>202.21</v>
      </c>
    </row>
    <row r="36" spans="1:4" x14ac:dyDescent="0.2">
      <c r="A36" s="34" t="s">
        <v>8</v>
      </c>
      <c r="B36" s="31" t="s">
        <v>118</v>
      </c>
      <c r="C36" s="36">
        <f>TRUNC(((1/3)/12),4)</f>
        <v>2.7699999999999999E-2</v>
      </c>
      <c r="D36" s="13">
        <f>TRUNC($D$26*C36,2)</f>
        <v>67.239999999999995</v>
      </c>
    </row>
    <row r="37" spans="1:4" x14ac:dyDescent="0.2">
      <c r="A37" s="98" t="s">
        <v>16</v>
      </c>
      <c r="B37" s="98"/>
      <c r="C37" s="26">
        <f>SUM(C34:C36)</f>
        <v>0.1943</v>
      </c>
      <c r="D37" s="17">
        <f>SUM(D34:D36)</f>
        <v>471.66</v>
      </c>
    </row>
    <row r="40" spans="1:4" x14ac:dyDescent="0.2">
      <c r="A40" s="112" t="s">
        <v>22</v>
      </c>
      <c r="B40" s="112"/>
      <c r="C40" s="112"/>
      <c r="D40" s="112"/>
    </row>
    <row r="42" spans="1:4" x14ac:dyDescent="0.2">
      <c r="A42" s="28" t="s">
        <v>23</v>
      </c>
      <c r="B42" s="28" t="s">
        <v>24</v>
      </c>
      <c r="C42" s="28" t="s">
        <v>25</v>
      </c>
      <c r="D42" s="28" t="s">
        <v>3</v>
      </c>
    </row>
    <row r="43" spans="1:4" x14ac:dyDescent="0.2">
      <c r="A43" s="27" t="s">
        <v>4</v>
      </c>
      <c r="B43" s="29" t="s">
        <v>26</v>
      </c>
      <c r="C43" s="9">
        <v>0.2</v>
      </c>
      <c r="D43" s="13">
        <f>TRUNC(($D$26+$D$37)*C43,2)</f>
        <v>579.83000000000004</v>
      </c>
    </row>
    <row r="44" spans="1:4" x14ac:dyDescent="0.2">
      <c r="A44" s="27" t="s">
        <v>6</v>
      </c>
      <c r="B44" s="29" t="s">
        <v>27</v>
      </c>
      <c r="C44" s="9">
        <v>2.5000000000000001E-2</v>
      </c>
      <c r="D44" s="13">
        <f t="shared" ref="D44:D50" si="0">TRUNC(($D$26+$D$37)*C44,2)</f>
        <v>72.47</v>
      </c>
    </row>
    <row r="45" spans="1:4" x14ac:dyDescent="0.2">
      <c r="A45" s="27" t="s">
        <v>8</v>
      </c>
      <c r="B45" s="29" t="s">
        <v>28</v>
      </c>
      <c r="C45" s="16">
        <v>0.03</v>
      </c>
      <c r="D45" s="13">
        <f t="shared" si="0"/>
        <v>86.97</v>
      </c>
    </row>
    <row r="46" spans="1:4" x14ac:dyDescent="0.2">
      <c r="A46" s="27" t="s">
        <v>10</v>
      </c>
      <c r="B46" s="29" t="s">
        <v>29</v>
      </c>
      <c r="C46" s="9">
        <v>1.4999999999999999E-2</v>
      </c>
      <c r="D46" s="13">
        <f t="shared" si="0"/>
        <v>43.48</v>
      </c>
    </row>
    <row r="47" spans="1:4" x14ac:dyDescent="0.2">
      <c r="A47" s="27" t="s">
        <v>12</v>
      </c>
      <c r="B47" s="29" t="s">
        <v>30</v>
      </c>
      <c r="C47" s="9">
        <v>0.01</v>
      </c>
      <c r="D47" s="13">
        <f t="shared" si="0"/>
        <v>28.99</v>
      </c>
    </row>
    <row r="48" spans="1:4" x14ac:dyDescent="0.2">
      <c r="A48" s="27" t="s">
        <v>31</v>
      </c>
      <c r="B48" s="29" t="s">
        <v>32</v>
      </c>
      <c r="C48" s="9">
        <v>6.0000000000000001E-3</v>
      </c>
      <c r="D48" s="13">
        <f t="shared" si="0"/>
        <v>17.39</v>
      </c>
    </row>
    <row r="49" spans="1:4" x14ac:dyDescent="0.2">
      <c r="A49" s="27" t="s">
        <v>14</v>
      </c>
      <c r="B49" s="29" t="s">
        <v>33</v>
      </c>
      <c r="C49" s="9">
        <v>2E-3</v>
      </c>
      <c r="D49" s="13">
        <f t="shared" si="0"/>
        <v>5.79</v>
      </c>
    </row>
    <row r="50" spans="1:4" x14ac:dyDescent="0.2">
      <c r="A50" s="27" t="s">
        <v>34</v>
      </c>
      <c r="B50" s="29" t="s">
        <v>35</v>
      </c>
      <c r="C50" s="9">
        <v>0.08</v>
      </c>
      <c r="D50" s="13">
        <f t="shared" si="0"/>
        <v>231.93</v>
      </c>
    </row>
    <row r="51" spans="1:4" x14ac:dyDescent="0.2">
      <c r="A51" s="98" t="s">
        <v>36</v>
      </c>
      <c r="B51" s="98"/>
      <c r="C51" s="15">
        <f>SUM(C43:C50)</f>
        <v>0.36800000000000005</v>
      </c>
      <c r="D51" s="17">
        <f>SUM(D43:D50)</f>
        <v>1066.8500000000001</v>
      </c>
    </row>
    <row r="54" spans="1:4" x14ac:dyDescent="0.2">
      <c r="A54" s="96" t="s">
        <v>37</v>
      </c>
      <c r="B54" s="96"/>
      <c r="C54" s="96"/>
      <c r="D54" s="96"/>
    </row>
    <row r="56" spans="1:4" x14ac:dyDescent="0.2">
      <c r="A56" s="28" t="s">
        <v>38</v>
      </c>
      <c r="B56" s="97" t="s">
        <v>39</v>
      </c>
      <c r="C56" s="97"/>
      <c r="D56" s="28" t="s">
        <v>3</v>
      </c>
    </row>
    <row r="57" spans="1:4" x14ac:dyDescent="0.2">
      <c r="A57" s="27" t="s">
        <v>4</v>
      </c>
      <c r="B57" s="100" t="s">
        <v>40</v>
      </c>
      <c r="C57" s="100"/>
      <c r="D57" s="13">
        <f>(15*2*5.2)-(D19*0.06)</f>
        <v>67.726799999999997</v>
      </c>
    </row>
    <row r="58" spans="1:4" x14ac:dyDescent="0.2">
      <c r="A58" s="27" t="s">
        <v>6</v>
      </c>
      <c r="B58" s="100" t="s">
        <v>41</v>
      </c>
      <c r="C58" s="100"/>
      <c r="D58" s="13">
        <f>16.59*15*0.85</f>
        <v>211.52249999999998</v>
      </c>
    </row>
    <row r="59" spans="1:4" x14ac:dyDescent="0.2">
      <c r="A59" s="27" t="s">
        <v>8</v>
      </c>
      <c r="B59" s="100" t="s">
        <v>110</v>
      </c>
      <c r="C59" s="100"/>
      <c r="D59" s="13"/>
    </row>
    <row r="60" spans="1:4" x14ac:dyDescent="0.2">
      <c r="A60" s="27" t="s">
        <v>10</v>
      </c>
      <c r="B60" s="100" t="s">
        <v>104</v>
      </c>
      <c r="C60" s="100"/>
      <c r="D60" s="13">
        <v>8.5</v>
      </c>
    </row>
    <row r="61" spans="1:4" x14ac:dyDescent="0.2">
      <c r="A61" s="27" t="s">
        <v>12</v>
      </c>
      <c r="B61" s="100" t="s">
        <v>105</v>
      </c>
      <c r="C61" s="100"/>
      <c r="D61" s="13">
        <v>3.5</v>
      </c>
    </row>
    <row r="62" spans="1:4" x14ac:dyDescent="0.2">
      <c r="A62" s="27" t="s">
        <v>31</v>
      </c>
      <c r="B62" s="100" t="s">
        <v>111</v>
      </c>
      <c r="C62" s="100"/>
      <c r="D62" s="13">
        <f>180/24</f>
        <v>7.5</v>
      </c>
    </row>
    <row r="63" spans="1:4" x14ac:dyDescent="0.2">
      <c r="A63" s="41" t="s">
        <v>14</v>
      </c>
      <c r="B63" s="100" t="s">
        <v>179</v>
      </c>
      <c r="C63" s="100"/>
      <c r="D63" s="13">
        <f>(13.04*12)/12</f>
        <v>13.04</v>
      </c>
    </row>
    <row r="64" spans="1:4" x14ac:dyDescent="0.2">
      <c r="A64" s="93" t="s">
        <v>34</v>
      </c>
      <c r="B64" s="100" t="s">
        <v>207</v>
      </c>
      <c r="C64" s="100"/>
      <c r="D64" s="13">
        <f>D19*0.22*(21/24)</f>
        <v>283.20985000000002</v>
      </c>
    </row>
    <row r="65" spans="1:4" x14ac:dyDescent="0.2">
      <c r="A65" s="93" t="s">
        <v>206</v>
      </c>
      <c r="B65" s="100" t="s">
        <v>209</v>
      </c>
      <c r="C65" s="100"/>
      <c r="D65" s="13">
        <f>233.73*(2/3)</f>
        <v>155.82</v>
      </c>
    </row>
    <row r="66" spans="1:4" x14ac:dyDescent="0.2">
      <c r="A66" s="98" t="s">
        <v>16</v>
      </c>
      <c r="B66" s="98"/>
      <c r="C66" s="98"/>
      <c r="D66" s="17">
        <f>SUM(D57:D65)</f>
        <v>750.81915000000004</v>
      </c>
    </row>
    <row r="69" spans="1:4" x14ac:dyDescent="0.2">
      <c r="A69" s="96" t="s">
        <v>42</v>
      </c>
      <c r="B69" s="96"/>
      <c r="C69" s="96"/>
      <c r="D69" s="96"/>
    </row>
    <row r="71" spans="1:4" x14ac:dyDescent="0.2">
      <c r="A71" s="28">
        <v>2</v>
      </c>
      <c r="B71" s="97" t="s">
        <v>43</v>
      </c>
      <c r="C71" s="97"/>
      <c r="D71" s="28" t="s">
        <v>3</v>
      </c>
    </row>
    <row r="72" spans="1:4" x14ac:dyDescent="0.2">
      <c r="A72" s="27" t="s">
        <v>19</v>
      </c>
      <c r="B72" s="100" t="s">
        <v>20</v>
      </c>
      <c r="C72" s="100"/>
      <c r="D72" s="14">
        <f>D37</f>
        <v>471.66</v>
      </c>
    </row>
    <row r="73" spans="1:4" x14ac:dyDescent="0.2">
      <c r="A73" s="27" t="s">
        <v>23</v>
      </c>
      <c r="B73" s="100" t="s">
        <v>24</v>
      </c>
      <c r="C73" s="100"/>
      <c r="D73" s="14">
        <f>D51</f>
        <v>1066.8500000000001</v>
      </c>
    </row>
    <row r="74" spans="1:4" x14ac:dyDescent="0.2">
      <c r="A74" s="27" t="s">
        <v>38</v>
      </c>
      <c r="B74" s="100" t="s">
        <v>39</v>
      </c>
      <c r="C74" s="100"/>
      <c r="D74" s="14">
        <f>D66</f>
        <v>750.81915000000004</v>
      </c>
    </row>
    <row r="75" spans="1:4" x14ac:dyDescent="0.2">
      <c r="A75" s="98" t="s">
        <v>16</v>
      </c>
      <c r="B75" s="98"/>
      <c r="C75" s="98"/>
      <c r="D75" s="17">
        <f>SUM(D72:D74)</f>
        <v>2289.3291500000005</v>
      </c>
    </row>
    <row r="76" spans="1:4" x14ac:dyDescent="0.2">
      <c r="A76" s="4"/>
    </row>
    <row r="78" spans="1:4" x14ac:dyDescent="0.2">
      <c r="A78" s="99" t="s">
        <v>44</v>
      </c>
      <c r="B78" s="99"/>
      <c r="C78" s="99"/>
      <c r="D78" s="99"/>
    </row>
    <row r="79" spans="1:4" ht="12.75" customHeight="1" x14ac:dyDescent="0.2"/>
    <row r="80" spans="1:4" x14ac:dyDescent="0.2">
      <c r="A80" s="28">
        <v>3</v>
      </c>
      <c r="B80" s="97" t="s">
        <v>45</v>
      </c>
      <c r="C80" s="97"/>
      <c r="D80" s="28" t="s">
        <v>3</v>
      </c>
    </row>
    <row r="81" spans="1:4" x14ac:dyDescent="0.2">
      <c r="A81" s="27" t="s">
        <v>4</v>
      </c>
      <c r="B81" s="10" t="s">
        <v>46</v>
      </c>
      <c r="C81" s="9">
        <f>TRUNC(((1/12)*5%),4)</f>
        <v>4.1000000000000003E-3</v>
      </c>
      <c r="D81" s="13">
        <f>TRUNC($D$26*C81,2)</f>
        <v>9.9499999999999993</v>
      </c>
    </row>
    <row r="82" spans="1:4" x14ac:dyDescent="0.2">
      <c r="A82" s="27" t="s">
        <v>6</v>
      </c>
      <c r="B82" s="10" t="s">
        <v>47</v>
      </c>
      <c r="C82" s="9">
        <v>0.08</v>
      </c>
      <c r="D82" s="13">
        <f>TRUNC(D81*C82,2)</f>
        <v>0.79</v>
      </c>
    </row>
    <row r="83" spans="1:4" x14ac:dyDescent="0.2">
      <c r="A83" s="27" t="s">
        <v>8</v>
      </c>
      <c r="B83" s="10" t="s">
        <v>48</v>
      </c>
      <c r="C83" s="9">
        <f>TRUNC(8%*5%*40%,4)</f>
        <v>1.6000000000000001E-3</v>
      </c>
      <c r="D83" s="13">
        <f>TRUNC($D$26*C83,2)</f>
        <v>3.88</v>
      </c>
    </row>
    <row r="84" spans="1:4" x14ac:dyDescent="0.2">
      <c r="A84" s="27" t="s">
        <v>10</v>
      </c>
      <c r="B84" s="10" t="s">
        <v>49</v>
      </c>
      <c r="C84" s="9">
        <f>TRUNC(((7/30)/12)*95%,4)</f>
        <v>1.84E-2</v>
      </c>
      <c r="D84" s="13">
        <f>TRUNC($D$26*C84,2)</f>
        <v>44.66</v>
      </c>
    </row>
    <row r="85" spans="1:4" ht="25.5" x14ac:dyDescent="0.2">
      <c r="A85" s="27" t="s">
        <v>12</v>
      </c>
      <c r="B85" s="10" t="s">
        <v>94</v>
      </c>
      <c r="C85" s="9">
        <f>C51</f>
        <v>0.36800000000000005</v>
      </c>
      <c r="D85" s="13">
        <f>TRUNC(D84*C85,2)</f>
        <v>16.43</v>
      </c>
    </row>
    <row r="86" spans="1:4" x14ac:dyDescent="0.2">
      <c r="A86" s="27" t="s">
        <v>31</v>
      </c>
      <c r="B86" s="10" t="s">
        <v>50</v>
      </c>
      <c r="C86" s="9">
        <f>TRUNC(8%*95%*40%,4)</f>
        <v>3.04E-2</v>
      </c>
      <c r="D86" s="13">
        <f t="shared" ref="D86" si="1">TRUNC($D$26*C86,2)</f>
        <v>73.790000000000006</v>
      </c>
    </row>
    <row r="87" spans="1:4" x14ac:dyDescent="0.2">
      <c r="A87" s="101" t="s">
        <v>16</v>
      </c>
      <c r="B87" s="110"/>
      <c r="C87" s="102"/>
      <c r="D87" s="17">
        <f>SUM(D81:D86)</f>
        <v>149.5</v>
      </c>
    </row>
    <row r="90" spans="1:4" x14ac:dyDescent="0.2">
      <c r="A90" s="99" t="s">
        <v>51</v>
      </c>
      <c r="B90" s="99"/>
      <c r="C90" s="99"/>
      <c r="D90" s="99"/>
    </row>
    <row r="93" spans="1:4" x14ac:dyDescent="0.2">
      <c r="A93" s="96" t="s">
        <v>78</v>
      </c>
      <c r="B93" s="96"/>
      <c r="C93" s="96"/>
      <c r="D93" s="96"/>
    </row>
    <row r="94" spans="1:4" x14ac:dyDescent="0.2">
      <c r="A94" s="3"/>
    </row>
    <row r="95" spans="1:4" x14ac:dyDescent="0.2">
      <c r="A95" s="28" t="s">
        <v>52</v>
      </c>
      <c r="B95" s="97" t="s">
        <v>79</v>
      </c>
      <c r="C95" s="97"/>
      <c r="D95" s="28" t="s">
        <v>3</v>
      </c>
    </row>
    <row r="96" spans="1:4" x14ac:dyDescent="0.2">
      <c r="A96" s="27" t="s">
        <v>4</v>
      </c>
      <c r="B96" s="29" t="s">
        <v>80</v>
      </c>
      <c r="C96" s="9">
        <f>TRUNC(((1+1/3)/12)/12,4)</f>
        <v>9.1999999999999998E-3</v>
      </c>
      <c r="D96" s="13">
        <f t="shared" ref="D96:D101" si="2">TRUNC(($D$26+$D$75+$D$87)*C96,2)</f>
        <v>44.77</v>
      </c>
    </row>
    <row r="97" spans="1:4" x14ac:dyDescent="0.2">
      <c r="A97" s="27" t="s">
        <v>6</v>
      </c>
      <c r="B97" s="29" t="s">
        <v>81</v>
      </c>
      <c r="C97" s="9">
        <f>TRUNC(((2/30)/12),4)</f>
        <v>5.4999999999999997E-3</v>
      </c>
      <c r="D97" s="13">
        <f t="shared" si="2"/>
        <v>26.76</v>
      </c>
    </row>
    <row r="98" spans="1:4" x14ac:dyDescent="0.2">
      <c r="A98" s="27" t="s">
        <v>8</v>
      </c>
      <c r="B98" s="29" t="s">
        <v>82</v>
      </c>
      <c r="C98" s="9">
        <f>TRUNC(((5/30)/12)*2%,4)</f>
        <v>2.0000000000000001E-4</v>
      </c>
      <c r="D98" s="13">
        <f t="shared" si="2"/>
        <v>0.97</v>
      </c>
    </row>
    <row r="99" spans="1:4" x14ac:dyDescent="0.2">
      <c r="A99" s="27" t="s">
        <v>10</v>
      </c>
      <c r="B99" s="29" t="s">
        <v>83</v>
      </c>
      <c r="C99" s="9">
        <f>TRUNC(((15/30)/12)*8%,4)</f>
        <v>3.3E-3</v>
      </c>
      <c r="D99" s="13">
        <f t="shared" si="2"/>
        <v>16.05</v>
      </c>
    </row>
    <row r="100" spans="1:4" x14ac:dyDescent="0.2">
      <c r="A100" s="27" t="s">
        <v>12</v>
      </c>
      <c r="B100" s="29" t="s">
        <v>84</v>
      </c>
      <c r="C100" s="9">
        <f>((1+1/3)/12)*3%*(4/12)</f>
        <v>1.1111111111111109E-3</v>
      </c>
      <c r="D100" s="13">
        <f t="shared" si="2"/>
        <v>5.4</v>
      </c>
    </row>
    <row r="101" spans="1:4" x14ac:dyDescent="0.2">
      <c r="A101" s="27" t="s">
        <v>31</v>
      </c>
      <c r="B101" s="29" t="s">
        <v>85</v>
      </c>
      <c r="C101" s="9"/>
      <c r="D101" s="13">
        <f t="shared" si="2"/>
        <v>0</v>
      </c>
    </row>
    <row r="102" spans="1:4" x14ac:dyDescent="0.2">
      <c r="A102" s="98" t="s">
        <v>36</v>
      </c>
      <c r="B102" s="98"/>
      <c r="C102" s="98"/>
      <c r="D102" s="17">
        <f>SUM(D96:D101)</f>
        <v>93.95</v>
      </c>
    </row>
    <row r="105" spans="1:4" x14ac:dyDescent="0.2">
      <c r="A105" s="96" t="s">
        <v>86</v>
      </c>
      <c r="B105" s="96"/>
      <c r="C105" s="96"/>
      <c r="D105" s="96"/>
    </row>
    <row r="106" spans="1:4" x14ac:dyDescent="0.2">
      <c r="A106" s="3"/>
    </row>
    <row r="107" spans="1:4" x14ac:dyDescent="0.2">
      <c r="A107" s="28" t="s">
        <v>53</v>
      </c>
      <c r="B107" s="97" t="s">
        <v>87</v>
      </c>
      <c r="C107" s="97"/>
      <c r="D107" s="28" t="s">
        <v>3</v>
      </c>
    </row>
    <row r="108" spans="1:4" x14ac:dyDescent="0.2">
      <c r="A108" s="27" t="s">
        <v>4</v>
      </c>
      <c r="B108" s="107" t="s">
        <v>88</v>
      </c>
      <c r="C108" s="108"/>
      <c r="D108" s="13">
        <f>((D26+D75+D87)/220)*22*0</f>
        <v>0</v>
      </c>
    </row>
    <row r="109" spans="1:4" x14ac:dyDescent="0.2">
      <c r="A109" s="98" t="s">
        <v>16</v>
      </c>
      <c r="B109" s="98"/>
      <c r="C109" s="98"/>
      <c r="D109" s="17">
        <f>SUM(D108)</f>
        <v>0</v>
      </c>
    </row>
    <row r="112" spans="1:4" x14ac:dyDescent="0.2">
      <c r="A112" s="96" t="s">
        <v>54</v>
      </c>
      <c r="B112" s="96"/>
      <c r="C112" s="96"/>
      <c r="D112" s="96"/>
    </row>
    <row r="113" spans="1:4" x14ac:dyDescent="0.2">
      <c r="A113" s="3"/>
    </row>
    <row r="114" spans="1:4" x14ac:dyDescent="0.2">
      <c r="A114" s="28">
        <v>4</v>
      </c>
      <c r="B114" s="98" t="s">
        <v>55</v>
      </c>
      <c r="C114" s="98"/>
      <c r="D114" s="28" t="s">
        <v>3</v>
      </c>
    </row>
    <row r="115" spans="1:4" x14ac:dyDescent="0.2">
      <c r="A115" s="27" t="s">
        <v>52</v>
      </c>
      <c r="B115" s="100" t="s">
        <v>79</v>
      </c>
      <c r="C115" s="100"/>
      <c r="D115" s="14">
        <f>D102</f>
        <v>93.95</v>
      </c>
    </row>
    <row r="116" spans="1:4" x14ac:dyDescent="0.2">
      <c r="A116" s="27" t="s">
        <v>53</v>
      </c>
      <c r="B116" s="100" t="s">
        <v>87</v>
      </c>
      <c r="C116" s="100"/>
      <c r="D116" s="14">
        <f>D109</f>
        <v>0</v>
      </c>
    </row>
    <row r="117" spans="1:4" x14ac:dyDescent="0.2">
      <c r="A117" s="98" t="s">
        <v>16</v>
      </c>
      <c r="B117" s="98"/>
      <c r="C117" s="98"/>
      <c r="D117" s="17">
        <f>SUM(D115:D116)</f>
        <v>93.95</v>
      </c>
    </row>
    <row r="120" spans="1:4" x14ac:dyDescent="0.2">
      <c r="A120" s="99" t="s">
        <v>56</v>
      </c>
      <c r="B120" s="99"/>
      <c r="C120" s="99"/>
      <c r="D120" s="99"/>
    </row>
    <row r="122" spans="1:4" x14ac:dyDescent="0.2">
      <c r="A122" s="28">
        <v>5</v>
      </c>
      <c r="B122" s="109" t="s">
        <v>57</v>
      </c>
      <c r="C122" s="109"/>
      <c r="D122" s="28" t="s">
        <v>3</v>
      </c>
    </row>
    <row r="123" spans="1:4" x14ac:dyDescent="0.2">
      <c r="A123" s="27" t="s">
        <v>4</v>
      </c>
      <c r="B123" s="100" t="s">
        <v>58</v>
      </c>
      <c r="C123" s="100"/>
      <c r="D123" s="13">
        <v>105.95</v>
      </c>
    </row>
    <row r="124" spans="1:4" x14ac:dyDescent="0.2">
      <c r="A124" s="27" t="s">
        <v>6</v>
      </c>
      <c r="B124" s="100" t="s">
        <v>59</v>
      </c>
      <c r="C124" s="100"/>
      <c r="D124" s="13">
        <v>2.2599999999999998</v>
      </c>
    </row>
    <row r="125" spans="1:4" x14ac:dyDescent="0.2">
      <c r="A125" s="27" t="s">
        <v>8</v>
      </c>
      <c r="B125" s="100" t="s">
        <v>60</v>
      </c>
      <c r="C125" s="100"/>
      <c r="D125" s="13">
        <v>21.12</v>
      </c>
    </row>
    <row r="126" spans="1:4" x14ac:dyDescent="0.2">
      <c r="A126" s="27" t="s">
        <v>10</v>
      </c>
      <c r="B126" s="100" t="s">
        <v>180</v>
      </c>
      <c r="C126" s="100"/>
      <c r="D126" s="13">
        <v>93.59</v>
      </c>
    </row>
    <row r="127" spans="1:4" x14ac:dyDescent="0.2">
      <c r="A127" s="93" t="s">
        <v>12</v>
      </c>
      <c r="B127" s="100" t="s">
        <v>208</v>
      </c>
      <c r="C127" s="100"/>
      <c r="D127" s="13">
        <v>84</v>
      </c>
    </row>
    <row r="128" spans="1:4" x14ac:dyDescent="0.2">
      <c r="A128" s="98" t="s">
        <v>36</v>
      </c>
      <c r="B128" s="98"/>
      <c r="C128" s="98"/>
      <c r="D128" s="18">
        <f>SUM(D123:D127)</f>
        <v>306.92</v>
      </c>
    </row>
    <row r="131" spans="1:4" x14ac:dyDescent="0.2">
      <c r="A131" s="99" t="s">
        <v>61</v>
      </c>
      <c r="B131" s="99"/>
      <c r="C131" s="99"/>
      <c r="D131" s="99"/>
    </row>
    <row r="133" spans="1:4" x14ac:dyDescent="0.2">
      <c r="A133" s="28">
        <v>6</v>
      </c>
      <c r="B133" s="30" t="s">
        <v>62</v>
      </c>
      <c r="C133" s="28" t="s">
        <v>25</v>
      </c>
      <c r="D133" s="28" t="s">
        <v>3</v>
      </c>
    </row>
    <row r="134" spans="1:4" x14ac:dyDescent="0.2">
      <c r="A134" s="27" t="s">
        <v>4</v>
      </c>
      <c r="B134" s="29" t="s">
        <v>63</v>
      </c>
      <c r="C134" s="9">
        <v>0.06</v>
      </c>
      <c r="D134" s="14">
        <f>D154*C134</f>
        <v>316.03272900000002</v>
      </c>
    </row>
    <row r="135" spans="1:4" x14ac:dyDescent="0.2">
      <c r="A135" s="27" t="s">
        <v>6</v>
      </c>
      <c r="B135" s="29" t="s">
        <v>64</v>
      </c>
      <c r="C135" s="9">
        <v>6.7900000000000002E-2</v>
      </c>
      <c r="D135" s="13">
        <f>(D154+D134)*C135</f>
        <v>379.1023272841</v>
      </c>
    </row>
    <row r="136" spans="1:4" x14ac:dyDescent="0.2">
      <c r="A136" s="27" t="s">
        <v>8</v>
      </c>
      <c r="B136" s="29" t="s">
        <v>65</v>
      </c>
      <c r="C136" s="12">
        <f>SUM(C137:C142)</f>
        <v>8.6499999999999994E-2</v>
      </c>
      <c r="D136" s="13">
        <f>(D154+D134+D135)*C136/(1-C136)</f>
        <v>564.57912790758041</v>
      </c>
    </row>
    <row r="137" spans="1:4" x14ac:dyDescent="0.2">
      <c r="A137" s="27"/>
      <c r="B137" s="29" t="s">
        <v>66</v>
      </c>
      <c r="C137" s="9"/>
      <c r="D137" s="14">
        <f>$D$156*C137</f>
        <v>0</v>
      </c>
    </row>
    <row r="138" spans="1:4" x14ac:dyDescent="0.2">
      <c r="A138" s="27"/>
      <c r="B138" s="29" t="s">
        <v>96</v>
      </c>
      <c r="C138" s="9">
        <v>6.4999999999999997E-3</v>
      </c>
      <c r="D138" s="14">
        <f t="shared" ref="D138:D142" si="3">$D$156*C138</f>
        <v>42.425021172245927</v>
      </c>
    </row>
    <row r="139" spans="1:4" x14ac:dyDescent="0.2">
      <c r="A139" s="27"/>
      <c r="B139" s="29" t="s">
        <v>97</v>
      </c>
      <c r="C139" s="9">
        <v>0.03</v>
      </c>
      <c r="D139" s="14">
        <f t="shared" si="3"/>
        <v>195.80779002575042</v>
      </c>
    </row>
    <row r="140" spans="1:4" x14ac:dyDescent="0.2">
      <c r="A140" s="27"/>
      <c r="B140" s="29" t="s">
        <v>67</v>
      </c>
      <c r="C140" s="27"/>
      <c r="D140" s="14">
        <f t="shared" si="3"/>
        <v>0</v>
      </c>
    </row>
    <row r="141" spans="1:4" x14ac:dyDescent="0.2">
      <c r="A141" s="27"/>
      <c r="B141" s="29" t="s">
        <v>68</v>
      </c>
      <c r="C141" s="9"/>
      <c r="D141" s="14">
        <f t="shared" si="3"/>
        <v>0</v>
      </c>
    </row>
    <row r="142" spans="1:4" x14ac:dyDescent="0.2">
      <c r="A142" s="27"/>
      <c r="B142" s="29" t="s">
        <v>98</v>
      </c>
      <c r="C142" s="9">
        <v>0.05</v>
      </c>
      <c r="D142" s="14">
        <f t="shared" si="3"/>
        <v>326.34631670958407</v>
      </c>
    </row>
    <row r="143" spans="1:4" ht="13.5" x14ac:dyDescent="0.2">
      <c r="A143" s="101" t="s">
        <v>36</v>
      </c>
      <c r="B143" s="110"/>
      <c r="C143" s="19">
        <f>(1+C135)*(1+C134)/(1-C136)-1</f>
        <v>0.2391614668856048</v>
      </c>
      <c r="D143" s="17">
        <f>SUM(D134:D136)</f>
        <v>1259.7141841916805</v>
      </c>
    </row>
    <row r="146" spans="1:4" x14ac:dyDescent="0.2">
      <c r="A146" s="99" t="s">
        <v>69</v>
      </c>
      <c r="B146" s="99"/>
      <c r="C146" s="99"/>
      <c r="D146" s="99"/>
    </row>
    <row r="148" spans="1:4" x14ac:dyDescent="0.2">
      <c r="A148" s="28"/>
      <c r="B148" s="98" t="s">
        <v>70</v>
      </c>
      <c r="C148" s="98"/>
      <c r="D148" s="28" t="s">
        <v>3</v>
      </c>
    </row>
    <row r="149" spans="1:4" x14ac:dyDescent="0.2">
      <c r="A149" s="28" t="s">
        <v>4</v>
      </c>
      <c r="B149" s="100" t="s">
        <v>1</v>
      </c>
      <c r="C149" s="100"/>
      <c r="D149" s="20">
        <f>D26</f>
        <v>2427.5129999999999</v>
      </c>
    </row>
    <row r="150" spans="1:4" x14ac:dyDescent="0.2">
      <c r="A150" s="28" t="s">
        <v>6</v>
      </c>
      <c r="B150" s="100" t="s">
        <v>17</v>
      </c>
      <c r="C150" s="100"/>
      <c r="D150" s="20">
        <f>D75</f>
        <v>2289.3291500000005</v>
      </c>
    </row>
    <row r="151" spans="1:4" x14ac:dyDescent="0.2">
      <c r="A151" s="28" t="s">
        <v>8</v>
      </c>
      <c r="B151" s="100" t="s">
        <v>44</v>
      </c>
      <c r="C151" s="100"/>
      <c r="D151" s="20">
        <f>D87</f>
        <v>149.5</v>
      </c>
    </row>
    <row r="152" spans="1:4" x14ac:dyDescent="0.2">
      <c r="A152" s="28" t="s">
        <v>10</v>
      </c>
      <c r="B152" s="100" t="s">
        <v>51</v>
      </c>
      <c r="C152" s="100"/>
      <c r="D152" s="20">
        <f>D117</f>
        <v>93.95</v>
      </c>
    </row>
    <row r="153" spans="1:4" x14ac:dyDescent="0.2">
      <c r="A153" s="28" t="s">
        <v>12</v>
      </c>
      <c r="B153" s="100" t="s">
        <v>56</v>
      </c>
      <c r="C153" s="100"/>
      <c r="D153" s="20">
        <f>D128</f>
        <v>306.92</v>
      </c>
    </row>
    <row r="154" spans="1:4" x14ac:dyDescent="0.2">
      <c r="A154" s="98" t="s">
        <v>95</v>
      </c>
      <c r="B154" s="98"/>
      <c r="C154" s="98"/>
      <c r="D154" s="21">
        <f>SUM(D149:D153)</f>
        <v>5267.2121500000003</v>
      </c>
    </row>
    <row r="155" spans="1:4" x14ac:dyDescent="0.2">
      <c r="A155" s="28" t="s">
        <v>31</v>
      </c>
      <c r="B155" s="100" t="s">
        <v>71</v>
      </c>
      <c r="C155" s="100"/>
      <c r="D155" s="22">
        <f>D143</f>
        <v>1259.7141841916805</v>
      </c>
    </row>
    <row r="156" spans="1:4" x14ac:dyDescent="0.2">
      <c r="A156" s="98" t="s">
        <v>72</v>
      </c>
      <c r="B156" s="98"/>
      <c r="C156" s="98"/>
      <c r="D156" s="21">
        <f>SUM(D154:D155)</f>
        <v>6526.9263341916812</v>
      </c>
    </row>
  </sheetData>
  <mergeCells count="80">
    <mergeCell ref="C10:D10"/>
    <mergeCell ref="A1:D1"/>
    <mergeCell ref="A3:D3"/>
    <mergeCell ref="A5:B5"/>
    <mergeCell ref="A6:B6"/>
    <mergeCell ref="A8:D8"/>
    <mergeCell ref="B24:C24"/>
    <mergeCell ref="C11:D11"/>
    <mergeCell ref="C12:D12"/>
    <mergeCell ref="C13:D13"/>
    <mergeCell ref="C14:D14"/>
    <mergeCell ref="A16:D16"/>
    <mergeCell ref="B18:C18"/>
    <mergeCell ref="B19:C19"/>
    <mergeCell ref="B20:C20"/>
    <mergeCell ref="B21:C21"/>
    <mergeCell ref="B22:C22"/>
    <mergeCell ref="B23:C23"/>
    <mergeCell ref="B58:C58"/>
    <mergeCell ref="B25:C25"/>
    <mergeCell ref="A26:C26"/>
    <mergeCell ref="A29:D29"/>
    <mergeCell ref="A31:D31"/>
    <mergeCell ref="B33:C33"/>
    <mergeCell ref="A37:B37"/>
    <mergeCell ref="A40:D40"/>
    <mergeCell ref="A51:B51"/>
    <mergeCell ref="A54:D54"/>
    <mergeCell ref="B56:C56"/>
    <mergeCell ref="B57:C57"/>
    <mergeCell ref="A75:C75"/>
    <mergeCell ref="B60:C60"/>
    <mergeCell ref="B61:C61"/>
    <mergeCell ref="A66:C66"/>
    <mergeCell ref="A69:D69"/>
    <mergeCell ref="B71:C71"/>
    <mergeCell ref="B72:C72"/>
    <mergeCell ref="B73:C73"/>
    <mergeCell ref="B74:C74"/>
    <mergeCell ref="B63:C63"/>
    <mergeCell ref="B64:C64"/>
    <mergeCell ref="B65:C65"/>
    <mergeCell ref="A112:D112"/>
    <mergeCell ref="A78:D78"/>
    <mergeCell ref="B80:C80"/>
    <mergeCell ref="A87:C87"/>
    <mergeCell ref="A90:D90"/>
    <mergeCell ref="A93:D93"/>
    <mergeCell ref="B95:C95"/>
    <mergeCell ref="A102:C102"/>
    <mergeCell ref="A105:D105"/>
    <mergeCell ref="B107:C107"/>
    <mergeCell ref="B108:C108"/>
    <mergeCell ref="A109:C109"/>
    <mergeCell ref="B115:C115"/>
    <mergeCell ref="B116:C116"/>
    <mergeCell ref="A117:C117"/>
    <mergeCell ref="A120:D120"/>
    <mergeCell ref="B122:C122"/>
    <mergeCell ref="A156:C156"/>
    <mergeCell ref="B59:C59"/>
    <mergeCell ref="B62:C62"/>
    <mergeCell ref="B150:C150"/>
    <mergeCell ref="B151:C151"/>
    <mergeCell ref="B152:C152"/>
    <mergeCell ref="B153:C153"/>
    <mergeCell ref="A154:C154"/>
    <mergeCell ref="B155:C155"/>
    <mergeCell ref="A128:C128"/>
    <mergeCell ref="A131:D131"/>
    <mergeCell ref="A143:B143"/>
    <mergeCell ref="A146:D146"/>
    <mergeCell ref="B148:C148"/>
    <mergeCell ref="B149:C149"/>
    <mergeCell ref="B114:C114"/>
    <mergeCell ref="B123:C123"/>
    <mergeCell ref="B124:C124"/>
    <mergeCell ref="B125:C125"/>
    <mergeCell ref="B126:C126"/>
    <mergeCell ref="B127:C127"/>
  </mergeCells>
  <pageMargins left="0.511811024" right="0.511811024" top="0.78740157499999996" bottom="0.78740157499999996" header="0.31496062000000002" footer="0.31496062000000002"/>
  <pageSetup paperSize="9" scale="84"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56"/>
  <sheetViews>
    <sheetView zoomScale="115" zoomScaleNormal="115" workbookViewId="0">
      <selection activeCell="F15" sqref="F15:G15"/>
    </sheetView>
  </sheetViews>
  <sheetFormatPr defaultRowHeight="12.75" x14ac:dyDescent="0.2"/>
  <cols>
    <col min="1" max="1" width="9.140625" style="1"/>
    <col min="2" max="2" width="60.28515625" style="1" customWidth="1"/>
    <col min="3" max="3" width="18" style="1" customWidth="1"/>
    <col min="4" max="4" width="21.42578125" style="1" customWidth="1"/>
    <col min="5" max="5" width="15.140625" style="1" customWidth="1"/>
    <col min="6" max="16384" width="9.140625" style="1"/>
  </cols>
  <sheetData>
    <row r="1" spans="1:4" ht="15.75" x14ac:dyDescent="0.25">
      <c r="A1" s="111" t="s">
        <v>0</v>
      </c>
      <c r="B1" s="111"/>
      <c r="C1" s="111"/>
      <c r="D1" s="111"/>
    </row>
    <row r="2" spans="1:4" ht="15.75" x14ac:dyDescent="0.25">
      <c r="A2" s="24"/>
      <c r="B2" s="24"/>
      <c r="C2" s="24"/>
      <c r="D2" s="24"/>
    </row>
    <row r="3" spans="1:4" x14ac:dyDescent="0.2">
      <c r="A3" s="106" t="s">
        <v>89</v>
      </c>
      <c r="B3" s="106"/>
      <c r="C3" s="106"/>
      <c r="D3" s="106"/>
    </row>
    <row r="4" spans="1:4" x14ac:dyDescent="0.2">
      <c r="A4" s="2"/>
      <c r="B4" s="2"/>
      <c r="C4" s="2"/>
      <c r="D4" s="2"/>
    </row>
    <row r="5" spans="1:4" ht="38.25" x14ac:dyDescent="0.2">
      <c r="A5" s="113" t="s">
        <v>90</v>
      </c>
      <c r="B5" s="113"/>
      <c r="C5" s="27" t="s">
        <v>91</v>
      </c>
      <c r="D5" s="25" t="s">
        <v>92</v>
      </c>
    </row>
    <row r="6" spans="1:4" ht="25.5" customHeight="1" x14ac:dyDescent="0.2">
      <c r="A6" s="101" t="s">
        <v>109</v>
      </c>
      <c r="B6" s="102"/>
      <c r="C6" s="35" t="s">
        <v>100</v>
      </c>
      <c r="D6" s="35">
        <v>1</v>
      </c>
    </row>
    <row r="8" spans="1:4" x14ac:dyDescent="0.2">
      <c r="A8" s="106" t="s">
        <v>73</v>
      </c>
      <c r="B8" s="106"/>
      <c r="C8" s="106"/>
      <c r="D8" s="106"/>
    </row>
    <row r="9" spans="1:4" x14ac:dyDescent="0.2">
      <c r="A9" s="2"/>
      <c r="B9" s="2"/>
      <c r="C9" s="2"/>
      <c r="D9" s="2"/>
    </row>
    <row r="10" spans="1:4" x14ac:dyDescent="0.2">
      <c r="A10" s="5">
        <v>1</v>
      </c>
      <c r="B10" s="5" t="s">
        <v>74</v>
      </c>
      <c r="C10" s="103" t="s">
        <v>107</v>
      </c>
      <c r="D10" s="104"/>
    </row>
    <row r="11" spans="1:4" x14ac:dyDescent="0.2">
      <c r="A11" s="5">
        <v>2</v>
      </c>
      <c r="B11" s="5" t="s">
        <v>93</v>
      </c>
      <c r="C11" s="103">
        <v>517330</v>
      </c>
      <c r="D11" s="104"/>
    </row>
    <row r="12" spans="1:4" x14ac:dyDescent="0.2">
      <c r="A12" s="5">
        <v>3</v>
      </c>
      <c r="B12" s="5" t="s">
        <v>75</v>
      </c>
      <c r="C12" s="103">
        <v>1471.22</v>
      </c>
      <c r="D12" s="104"/>
    </row>
    <row r="13" spans="1:4" x14ac:dyDescent="0.2">
      <c r="A13" s="5">
        <v>4</v>
      </c>
      <c r="B13" s="5" t="s">
        <v>76</v>
      </c>
      <c r="C13" s="103" t="s">
        <v>102</v>
      </c>
      <c r="D13" s="104"/>
    </row>
    <row r="14" spans="1:4" x14ac:dyDescent="0.2">
      <c r="A14" s="5">
        <v>5</v>
      </c>
      <c r="B14" s="5" t="s">
        <v>77</v>
      </c>
      <c r="C14" s="105">
        <v>45292</v>
      </c>
      <c r="D14" s="104"/>
    </row>
    <row r="16" spans="1:4" x14ac:dyDescent="0.2">
      <c r="A16" s="106" t="s">
        <v>1</v>
      </c>
      <c r="B16" s="106"/>
      <c r="C16" s="106"/>
      <c r="D16" s="106"/>
    </row>
    <row r="18" spans="1:4" x14ac:dyDescent="0.2">
      <c r="A18" s="28">
        <v>1</v>
      </c>
      <c r="B18" s="98" t="s">
        <v>2</v>
      </c>
      <c r="C18" s="98"/>
      <c r="D18" s="28" t="s">
        <v>3</v>
      </c>
    </row>
    <row r="19" spans="1:4" x14ac:dyDescent="0.2">
      <c r="A19" s="27" t="s">
        <v>4</v>
      </c>
      <c r="B19" s="100" t="s">
        <v>5</v>
      </c>
      <c r="C19" s="100"/>
      <c r="D19" s="13">
        <v>1471.22</v>
      </c>
    </row>
    <row r="20" spans="1:4" x14ac:dyDescent="0.2">
      <c r="A20" s="27" t="s">
        <v>6</v>
      </c>
      <c r="B20" s="100" t="s">
        <v>7</v>
      </c>
      <c r="C20" s="100"/>
      <c r="D20" s="13">
        <f>D19*0.3</f>
        <v>441.36599999999999</v>
      </c>
    </row>
    <row r="21" spans="1:4" x14ac:dyDescent="0.2">
      <c r="A21" s="27" t="s">
        <v>8</v>
      </c>
      <c r="B21" s="100" t="s">
        <v>9</v>
      </c>
      <c r="C21" s="100"/>
      <c r="D21" s="13"/>
    </row>
    <row r="22" spans="1:4" x14ac:dyDescent="0.2">
      <c r="A22" s="27" t="s">
        <v>10</v>
      </c>
      <c r="B22" s="100" t="s">
        <v>11</v>
      </c>
      <c r="C22" s="100"/>
      <c r="D22" s="13">
        <f>8*15*((D19+D20)/220)*0.35</f>
        <v>365.13005454545447</v>
      </c>
    </row>
    <row r="23" spans="1:4" x14ac:dyDescent="0.2">
      <c r="A23" s="27" t="s">
        <v>12</v>
      </c>
      <c r="B23" s="100" t="s">
        <v>13</v>
      </c>
      <c r="C23" s="100"/>
      <c r="D23" s="13">
        <f>15*((D19+D20)/220)</f>
        <v>130.40359090909089</v>
      </c>
    </row>
    <row r="24" spans="1:4" x14ac:dyDescent="0.2">
      <c r="A24" s="27" t="s">
        <v>31</v>
      </c>
      <c r="B24" s="100" t="s">
        <v>108</v>
      </c>
      <c r="C24" s="100"/>
      <c r="D24" s="13">
        <f>D19*0.35</f>
        <v>514.92700000000002</v>
      </c>
    </row>
    <row r="25" spans="1:4" x14ac:dyDescent="0.2">
      <c r="A25" s="27" t="s">
        <v>14</v>
      </c>
      <c r="B25" s="100" t="s">
        <v>15</v>
      </c>
      <c r="C25" s="100"/>
      <c r="D25" s="13"/>
    </row>
    <row r="26" spans="1:4" x14ac:dyDescent="0.2">
      <c r="A26" s="98" t="s">
        <v>16</v>
      </c>
      <c r="B26" s="98"/>
      <c r="C26" s="98"/>
      <c r="D26" s="18">
        <f>SUM(D19:D25)</f>
        <v>2923.0466454545453</v>
      </c>
    </row>
    <row r="29" spans="1:4" x14ac:dyDescent="0.2">
      <c r="A29" s="99" t="s">
        <v>17</v>
      </c>
      <c r="B29" s="99"/>
      <c r="C29" s="99"/>
      <c r="D29" s="99"/>
    </row>
    <row r="30" spans="1:4" x14ac:dyDescent="0.2">
      <c r="A30" s="3"/>
    </row>
    <row r="31" spans="1:4" x14ac:dyDescent="0.2">
      <c r="A31" s="96" t="s">
        <v>18</v>
      </c>
      <c r="B31" s="96"/>
      <c r="C31" s="96"/>
      <c r="D31" s="96"/>
    </row>
    <row r="33" spans="1:4" x14ac:dyDescent="0.2">
      <c r="A33" s="28" t="s">
        <v>19</v>
      </c>
      <c r="B33" s="98" t="s">
        <v>20</v>
      </c>
      <c r="C33" s="98"/>
      <c r="D33" s="28" t="s">
        <v>3</v>
      </c>
    </row>
    <row r="34" spans="1:4" x14ac:dyDescent="0.2">
      <c r="A34" s="27" t="s">
        <v>4</v>
      </c>
      <c r="B34" s="29" t="s">
        <v>21</v>
      </c>
      <c r="C34" s="12">
        <f>TRUNC(1/12,4)</f>
        <v>8.3299999999999999E-2</v>
      </c>
      <c r="D34" s="13">
        <f>TRUNC($D$26*C34,2)</f>
        <v>243.48</v>
      </c>
    </row>
    <row r="35" spans="1:4" x14ac:dyDescent="0.2">
      <c r="A35" s="27" t="s">
        <v>6</v>
      </c>
      <c r="B35" s="29" t="s">
        <v>117</v>
      </c>
      <c r="C35" s="12">
        <f>TRUNC(((1)/12),4)</f>
        <v>8.3299999999999999E-2</v>
      </c>
      <c r="D35" s="13">
        <f>TRUNC($D$26*C35,2)</f>
        <v>243.48</v>
      </c>
    </row>
    <row r="36" spans="1:4" x14ac:dyDescent="0.2">
      <c r="A36" s="34" t="s">
        <v>8</v>
      </c>
      <c r="B36" s="31" t="s">
        <v>118</v>
      </c>
      <c r="C36" s="36">
        <f>TRUNC(((1/3)/12),4)</f>
        <v>2.7699999999999999E-2</v>
      </c>
      <c r="D36" s="13">
        <f>TRUNC($D$26*C36,2)</f>
        <v>80.959999999999994</v>
      </c>
    </row>
    <row r="37" spans="1:4" x14ac:dyDescent="0.2">
      <c r="A37" s="98" t="s">
        <v>16</v>
      </c>
      <c r="B37" s="98"/>
      <c r="C37" s="26">
        <f>SUM(C34:C36)</f>
        <v>0.1943</v>
      </c>
      <c r="D37" s="17">
        <f>SUM(D34:D36)</f>
        <v>567.91999999999996</v>
      </c>
    </row>
    <row r="40" spans="1:4" x14ac:dyDescent="0.2">
      <c r="A40" s="112" t="s">
        <v>22</v>
      </c>
      <c r="B40" s="112"/>
      <c r="C40" s="112"/>
      <c r="D40" s="112"/>
    </row>
    <row r="42" spans="1:4" x14ac:dyDescent="0.2">
      <c r="A42" s="28" t="s">
        <v>23</v>
      </c>
      <c r="B42" s="28" t="s">
        <v>24</v>
      </c>
      <c r="C42" s="28" t="s">
        <v>25</v>
      </c>
      <c r="D42" s="28" t="s">
        <v>3</v>
      </c>
    </row>
    <row r="43" spans="1:4" x14ac:dyDescent="0.2">
      <c r="A43" s="27" t="s">
        <v>4</v>
      </c>
      <c r="B43" s="29" t="s">
        <v>26</v>
      </c>
      <c r="C43" s="9">
        <v>0.2</v>
      </c>
      <c r="D43" s="13">
        <f>TRUNC(($D$26+$D$37)*C43,2)</f>
        <v>698.19</v>
      </c>
    </row>
    <row r="44" spans="1:4" x14ac:dyDescent="0.2">
      <c r="A44" s="27" t="s">
        <v>6</v>
      </c>
      <c r="B44" s="29" t="s">
        <v>27</v>
      </c>
      <c r="C44" s="9">
        <v>2.5000000000000001E-2</v>
      </c>
      <c r="D44" s="13">
        <f t="shared" ref="D44:D50" si="0">TRUNC(($D$26+$D$37)*C44,2)</f>
        <v>87.27</v>
      </c>
    </row>
    <row r="45" spans="1:4" x14ac:dyDescent="0.2">
      <c r="A45" s="27" t="s">
        <v>8</v>
      </c>
      <c r="B45" s="29" t="s">
        <v>28</v>
      </c>
      <c r="C45" s="16">
        <v>0.03</v>
      </c>
      <c r="D45" s="13">
        <f t="shared" si="0"/>
        <v>104.72</v>
      </c>
    </row>
    <row r="46" spans="1:4" x14ac:dyDescent="0.2">
      <c r="A46" s="27" t="s">
        <v>10</v>
      </c>
      <c r="B46" s="29" t="s">
        <v>29</v>
      </c>
      <c r="C46" s="9">
        <v>1.4999999999999999E-2</v>
      </c>
      <c r="D46" s="13">
        <f t="shared" si="0"/>
        <v>52.36</v>
      </c>
    </row>
    <row r="47" spans="1:4" x14ac:dyDescent="0.2">
      <c r="A47" s="27" t="s">
        <v>12</v>
      </c>
      <c r="B47" s="29" t="s">
        <v>30</v>
      </c>
      <c r="C47" s="9">
        <v>0.01</v>
      </c>
      <c r="D47" s="13">
        <f t="shared" si="0"/>
        <v>34.9</v>
      </c>
    </row>
    <row r="48" spans="1:4" x14ac:dyDescent="0.2">
      <c r="A48" s="27" t="s">
        <v>31</v>
      </c>
      <c r="B48" s="29" t="s">
        <v>32</v>
      </c>
      <c r="C48" s="9">
        <v>6.0000000000000001E-3</v>
      </c>
      <c r="D48" s="13">
        <f t="shared" si="0"/>
        <v>20.94</v>
      </c>
    </row>
    <row r="49" spans="1:4" x14ac:dyDescent="0.2">
      <c r="A49" s="27" t="s">
        <v>14</v>
      </c>
      <c r="B49" s="29" t="s">
        <v>33</v>
      </c>
      <c r="C49" s="9">
        <v>2E-3</v>
      </c>
      <c r="D49" s="13">
        <f t="shared" si="0"/>
        <v>6.98</v>
      </c>
    </row>
    <row r="50" spans="1:4" x14ac:dyDescent="0.2">
      <c r="A50" s="27" t="s">
        <v>34</v>
      </c>
      <c r="B50" s="29" t="s">
        <v>35</v>
      </c>
      <c r="C50" s="9">
        <v>0.08</v>
      </c>
      <c r="D50" s="13">
        <f t="shared" si="0"/>
        <v>279.27</v>
      </c>
    </row>
    <row r="51" spans="1:4" x14ac:dyDescent="0.2">
      <c r="A51" s="98" t="s">
        <v>36</v>
      </c>
      <c r="B51" s="98"/>
      <c r="C51" s="15">
        <f>SUM(C43:C50)</f>
        <v>0.36800000000000005</v>
      </c>
      <c r="D51" s="17">
        <f>SUM(D43:D50)</f>
        <v>1284.6300000000001</v>
      </c>
    </row>
    <row r="54" spans="1:4" x14ac:dyDescent="0.2">
      <c r="A54" s="96" t="s">
        <v>37</v>
      </c>
      <c r="B54" s="96"/>
      <c r="C54" s="96"/>
      <c r="D54" s="96"/>
    </row>
    <row r="56" spans="1:4" x14ac:dyDescent="0.2">
      <c r="A56" s="28" t="s">
        <v>38</v>
      </c>
      <c r="B56" s="97" t="s">
        <v>39</v>
      </c>
      <c r="C56" s="97"/>
      <c r="D56" s="28" t="s">
        <v>3</v>
      </c>
    </row>
    <row r="57" spans="1:4" x14ac:dyDescent="0.2">
      <c r="A57" s="27" t="s">
        <v>4</v>
      </c>
      <c r="B57" s="100" t="s">
        <v>40</v>
      </c>
      <c r="C57" s="100"/>
      <c r="D57" s="13">
        <f>(15*2*5.2)-(D19*0.06)</f>
        <v>67.726799999999997</v>
      </c>
    </row>
    <row r="58" spans="1:4" x14ac:dyDescent="0.2">
      <c r="A58" s="27" t="s">
        <v>6</v>
      </c>
      <c r="B58" s="100" t="s">
        <v>41</v>
      </c>
      <c r="C58" s="100"/>
      <c r="D58" s="13">
        <f>16.59*15*0.85</f>
        <v>211.52249999999998</v>
      </c>
    </row>
    <row r="59" spans="1:4" x14ac:dyDescent="0.2">
      <c r="A59" s="27" t="s">
        <v>8</v>
      </c>
      <c r="B59" s="100" t="s">
        <v>110</v>
      </c>
      <c r="C59" s="100"/>
      <c r="D59" s="13">
        <v>52.87</v>
      </c>
    </row>
    <row r="60" spans="1:4" x14ac:dyDescent="0.2">
      <c r="A60" s="27" t="s">
        <v>10</v>
      </c>
      <c r="B60" s="100" t="s">
        <v>104</v>
      </c>
      <c r="C60" s="100"/>
      <c r="D60" s="13">
        <v>8.5</v>
      </c>
    </row>
    <row r="61" spans="1:4" x14ac:dyDescent="0.2">
      <c r="A61" s="27" t="s">
        <v>12</v>
      </c>
      <c r="B61" s="100" t="s">
        <v>105</v>
      </c>
      <c r="C61" s="100"/>
      <c r="D61" s="13">
        <v>3.5</v>
      </c>
    </row>
    <row r="62" spans="1:4" x14ac:dyDescent="0.2">
      <c r="A62" s="27" t="s">
        <v>31</v>
      </c>
      <c r="B62" s="100" t="s">
        <v>111</v>
      </c>
      <c r="C62" s="100"/>
      <c r="D62" s="13"/>
    </row>
    <row r="63" spans="1:4" x14ac:dyDescent="0.2">
      <c r="A63" s="41" t="s">
        <v>14</v>
      </c>
      <c r="B63" s="100" t="s">
        <v>179</v>
      </c>
      <c r="C63" s="100"/>
      <c r="D63" s="13">
        <f>(13.04*12)/12</f>
        <v>13.04</v>
      </c>
    </row>
    <row r="64" spans="1:4" x14ac:dyDescent="0.2">
      <c r="A64" s="93" t="s">
        <v>34</v>
      </c>
      <c r="B64" s="100" t="s">
        <v>207</v>
      </c>
      <c r="C64" s="100"/>
      <c r="D64" s="13">
        <f>D19*0.22*(21/24)</f>
        <v>283.20985000000002</v>
      </c>
    </row>
    <row r="65" spans="1:4" x14ac:dyDescent="0.2">
      <c r="A65" s="93" t="s">
        <v>206</v>
      </c>
      <c r="B65" s="100" t="s">
        <v>209</v>
      </c>
      <c r="C65" s="100"/>
      <c r="D65" s="13">
        <f>233.73*(2/3)</f>
        <v>155.82</v>
      </c>
    </row>
    <row r="66" spans="1:4" x14ac:dyDescent="0.2">
      <c r="A66" s="98" t="s">
        <v>16</v>
      </c>
      <c r="B66" s="98"/>
      <c r="C66" s="98"/>
      <c r="D66" s="17">
        <f>SUM(D57:D65)</f>
        <v>796.18914999999993</v>
      </c>
    </row>
    <row r="69" spans="1:4" x14ac:dyDescent="0.2">
      <c r="A69" s="96" t="s">
        <v>42</v>
      </c>
      <c r="B69" s="96"/>
      <c r="C69" s="96"/>
      <c r="D69" s="96"/>
    </row>
    <row r="71" spans="1:4" x14ac:dyDescent="0.2">
      <c r="A71" s="28">
        <v>2</v>
      </c>
      <c r="B71" s="97" t="s">
        <v>43</v>
      </c>
      <c r="C71" s="97"/>
      <c r="D71" s="28" t="s">
        <v>3</v>
      </c>
    </row>
    <row r="72" spans="1:4" x14ac:dyDescent="0.2">
      <c r="A72" s="27" t="s">
        <v>19</v>
      </c>
      <c r="B72" s="100" t="s">
        <v>20</v>
      </c>
      <c r="C72" s="100"/>
      <c r="D72" s="14">
        <f>D37</f>
        <v>567.91999999999996</v>
      </c>
    </row>
    <row r="73" spans="1:4" x14ac:dyDescent="0.2">
      <c r="A73" s="27" t="s">
        <v>23</v>
      </c>
      <c r="B73" s="100" t="s">
        <v>24</v>
      </c>
      <c r="C73" s="100"/>
      <c r="D73" s="14">
        <f>D51</f>
        <v>1284.6300000000001</v>
      </c>
    </row>
    <row r="74" spans="1:4" x14ac:dyDescent="0.2">
      <c r="A74" s="27" t="s">
        <v>38</v>
      </c>
      <c r="B74" s="100" t="s">
        <v>39</v>
      </c>
      <c r="C74" s="100"/>
      <c r="D74" s="14">
        <f>D66</f>
        <v>796.18914999999993</v>
      </c>
    </row>
    <row r="75" spans="1:4" x14ac:dyDescent="0.2">
      <c r="A75" s="98" t="s">
        <v>16</v>
      </c>
      <c r="B75" s="98"/>
      <c r="C75" s="98"/>
      <c r="D75" s="17">
        <f>SUM(D72:D74)</f>
        <v>2648.7391500000003</v>
      </c>
    </row>
    <row r="76" spans="1:4" x14ac:dyDescent="0.2">
      <c r="A76" s="4"/>
    </row>
    <row r="78" spans="1:4" x14ac:dyDescent="0.2">
      <c r="A78" s="99" t="s">
        <v>44</v>
      </c>
      <c r="B78" s="99"/>
      <c r="C78" s="99"/>
      <c r="D78" s="99"/>
    </row>
    <row r="79" spans="1:4" ht="12.75" customHeight="1" x14ac:dyDescent="0.2"/>
    <row r="80" spans="1:4" x14ac:dyDescent="0.2">
      <c r="A80" s="28">
        <v>3</v>
      </c>
      <c r="B80" s="97" t="s">
        <v>45</v>
      </c>
      <c r="C80" s="97"/>
      <c r="D80" s="28" t="s">
        <v>3</v>
      </c>
    </row>
    <row r="81" spans="1:4" x14ac:dyDescent="0.2">
      <c r="A81" s="27" t="s">
        <v>4</v>
      </c>
      <c r="B81" s="10" t="s">
        <v>46</v>
      </c>
      <c r="C81" s="9">
        <f>TRUNC(((1/12)*5%),4)</f>
        <v>4.1000000000000003E-3</v>
      </c>
      <c r="D81" s="13">
        <f>TRUNC($D$26*C81,2)</f>
        <v>11.98</v>
      </c>
    </row>
    <row r="82" spans="1:4" x14ac:dyDescent="0.2">
      <c r="A82" s="27" t="s">
        <v>6</v>
      </c>
      <c r="B82" s="10" t="s">
        <v>47</v>
      </c>
      <c r="C82" s="9">
        <v>0.08</v>
      </c>
      <c r="D82" s="13">
        <f>TRUNC(D81*C82,2)</f>
        <v>0.95</v>
      </c>
    </row>
    <row r="83" spans="1:4" x14ac:dyDescent="0.2">
      <c r="A83" s="27" t="s">
        <v>8</v>
      </c>
      <c r="B83" s="10" t="s">
        <v>48</v>
      </c>
      <c r="C83" s="9">
        <f>TRUNC(8%*5%*40%,4)</f>
        <v>1.6000000000000001E-3</v>
      </c>
      <c r="D83" s="13">
        <f>TRUNC($D$26*C83,2)</f>
        <v>4.67</v>
      </c>
    </row>
    <row r="84" spans="1:4" x14ac:dyDescent="0.2">
      <c r="A84" s="27" t="s">
        <v>10</v>
      </c>
      <c r="B84" s="10" t="s">
        <v>49</v>
      </c>
      <c r="C84" s="9">
        <f>TRUNC(((7/30)/12)*95%,4)</f>
        <v>1.84E-2</v>
      </c>
      <c r="D84" s="13">
        <f>TRUNC($D$26*C84,2)</f>
        <v>53.78</v>
      </c>
    </row>
    <row r="85" spans="1:4" ht="25.5" x14ac:dyDescent="0.2">
      <c r="A85" s="27" t="s">
        <v>12</v>
      </c>
      <c r="B85" s="10" t="s">
        <v>94</v>
      </c>
      <c r="C85" s="9">
        <f>C51</f>
        <v>0.36800000000000005</v>
      </c>
      <c r="D85" s="13">
        <f>TRUNC(D84*C85,2)</f>
        <v>19.79</v>
      </c>
    </row>
    <row r="86" spans="1:4" x14ac:dyDescent="0.2">
      <c r="A86" s="27" t="s">
        <v>31</v>
      </c>
      <c r="B86" s="10" t="s">
        <v>50</v>
      </c>
      <c r="C86" s="9">
        <f>TRUNC(8%*95%*40%,4)</f>
        <v>3.04E-2</v>
      </c>
      <c r="D86" s="13">
        <f t="shared" ref="D86" si="1">TRUNC($D$26*C86,2)</f>
        <v>88.86</v>
      </c>
    </row>
    <row r="87" spans="1:4" x14ac:dyDescent="0.2">
      <c r="A87" s="101" t="s">
        <v>16</v>
      </c>
      <c r="B87" s="110"/>
      <c r="C87" s="102"/>
      <c r="D87" s="17">
        <f>SUM(D81:D86)</f>
        <v>180.02999999999997</v>
      </c>
    </row>
    <row r="90" spans="1:4" x14ac:dyDescent="0.2">
      <c r="A90" s="99" t="s">
        <v>51</v>
      </c>
      <c r="B90" s="99"/>
      <c r="C90" s="99"/>
      <c r="D90" s="99"/>
    </row>
    <row r="93" spans="1:4" x14ac:dyDescent="0.2">
      <c r="A93" s="96" t="s">
        <v>78</v>
      </c>
      <c r="B93" s="96"/>
      <c r="C93" s="96"/>
      <c r="D93" s="96"/>
    </row>
    <row r="94" spans="1:4" x14ac:dyDescent="0.2">
      <c r="A94" s="3"/>
    </row>
    <row r="95" spans="1:4" x14ac:dyDescent="0.2">
      <c r="A95" s="28" t="s">
        <v>52</v>
      </c>
      <c r="B95" s="97" t="s">
        <v>79</v>
      </c>
      <c r="C95" s="97"/>
      <c r="D95" s="28" t="s">
        <v>3</v>
      </c>
    </row>
    <row r="96" spans="1:4" x14ac:dyDescent="0.2">
      <c r="A96" s="27" t="s">
        <v>4</v>
      </c>
      <c r="B96" s="29" t="s">
        <v>80</v>
      </c>
      <c r="C96" s="9">
        <f>TRUNC(((1+1/3)/12)/12,4)</f>
        <v>9.1999999999999998E-3</v>
      </c>
      <c r="D96" s="13">
        <f t="shared" ref="D96:D101" si="2">TRUNC(($D$26+$D$75+$D$87)*C96,2)</f>
        <v>52.91</v>
      </c>
    </row>
    <row r="97" spans="1:4" x14ac:dyDescent="0.2">
      <c r="A97" s="27" t="s">
        <v>6</v>
      </c>
      <c r="B97" s="29" t="s">
        <v>81</v>
      </c>
      <c r="C97" s="9">
        <f>TRUNC(((2/30)/12),4)</f>
        <v>5.4999999999999997E-3</v>
      </c>
      <c r="D97" s="13">
        <f t="shared" si="2"/>
        <v>31.63</v>
      </c>
    </row>
    <row r="98" spans="1:4" x14ac:dyDescent="0.2">
      <c r="A98" s="27" t="s">
        <v>8</v>
      </c>
      <c r="B98" s="29" t="s">
        <v>82</v>
      </c>
      <c r="C98" s="9">
        <f>TRUNC(((5/30)/12)*2%,4)</f>
        <v>2.0000000000000001E-4</v>
      </c>
      <c r="D98" s="13">
        <f t="shared" si="2"/>
        <v>1.1499999999999999</v>
      </c>
    </row>
    <row r="99" spans="1:4" x14ac:dyDescent="0.2">
      <c r="A99" s="27" t="s">
        <v>10</v>
      </c>
      <c r="B99" s="29" t="s">
        <v>83</v>
      </c>
      <c r="C99" s="9">
        <f>TRUNC(((15/30)/12)*8%,4)</f>
        <v>3.3E-3</v>
      </c>
      <c r="D99" s="13">
        <f t="shared" si="2"/>
        <v>18.98</v>
      </c>
    </row>
    <row r="100" spans="1:4" x14ac:dyDescent="0.2">
      <c r="A100" s="27" t="s">
        <v>12</v>
      </c>
      <c r="B100" s="29" t="s">
        <v>84</v>
      </c>
      <c r="C100" s="9">
        <f>((1+1/3)/12)*3%*(4/12)</f>
        <v>1.1111111111111109E-3</v>
      </c>
      <c r="D100" s="13">
        <f t="shared" si="2"/>
        <v>6.39</v>
      </c>
    </row>
    <row r="101" spans="1:4" x14ac:dyDescent="0.2">
      <c r="A101" s="27" t="s">
        <v>31</v>
      </c>
      <c r="B101" s="29" t="s">
        <v>85</v>
      </c>
      <c r="C101" s="9"/>
      <c r="D101" s="13">
        <f t="shared" si="2"/>
        <v>0</v>
      </c>
    </row>
    <row r="102" spans="1:4" x14ac:dyDescent="0.2">
      <c r="A102" s="98" t="s">
        <v>36</v>
      </c>
      <c r="B102" s="98"/>
      <c r="C102" s="98"/>
      <c r="D102" s="17">
        <f>SUM(D96:D101)</f>
        <v>111.06</v>
      </c>
    </row>
    <row r="105" spans="1:4" x14ac:dyDescent="0.2">
      <c r="A105" s="96" t="s">
        <v>86</v>
      </c>
      <c r="B105" s="96"/>
      <c r="C105" s="96"/>
      <c r="D105" s="96"/>
    </row>
    <row r="106" spans="1:4" x14ac:dyDescent="0.2">
      <c r="A106" s="3"/>
    </row>
    <row r="107" spans="1:4" x14ac:dyDescent="0.2">
      <c r="A107" s="28" t="s">
        <v>53</v>
      </c>
      <c r="B107" s="97" t="s">
        <v>87</v>
      </c>
      <c r="C107" s="97"/>
      <c r="D107" s="28" t="s">
        <v>3</v>
      </c>
    </row>
    <row r="108" spans="1:4" x14ac:dyDescent="0.2">
      <c r="A108" s="27" t="s">
        <v>4</v>
      </c>
      <c r="B108" s="107" t="s">
        <v>88</v>
      </c>
      <c r="C108" s="108"/>
      <c r="D108" s="13">
        <f>((D26+D75+D87)/220)*22*0</f>
        <v>0</v>
      </c>
    </row>
    <row r="109" spans="1:4" x14ac:dyDescent="0.2">
      <c r="A109" s="98" t="s">
        <v>16</v>
      </c>
      <c r="B109" s="98"/>
      <c r="C109" s="98"/>
      <c r="D109" s="17">
        <f>SUM(D108)</f>
        <v>0</v>
      </c>
    </row>
    <row r="112" spans="1:4" x14ac:dyDescent="0.2">
      <c r="A112" s="96" t="s">
        <v>54</v>
      </c>
      <c r="B112" s="96"/>
      <c r="C112" s="96"/>
      <c r="D112" s="96"/>
    </row>
    <row r="113" spans="1:4" x14ac:dyDescent="0.2">
      <c r="A113" s="3"/>
    </row>
    <row r="114" spans="1:4" x14ac:dyDescent="0.2">
      <c r="A114" s="28">
        <v>4</v>
      </c>
      <c r="B114" s="98" t="s">
        <v>55</v>
      </c>
      <c r="C114" s="98"/>
      <c r="D114" s="28" t="s">
        <v>3</v>
      </c>
    </row>
    <row r="115" spans="1:4" x14ac:dyDescent="0.2">
      <c r="A115" s="27" t="s">
        <v>52</v>
      </c>
      <c r="B115" s="100" t="s">
        <v>79</v>
      </c>
      <c r="C115" s="100"/>
      <c r="D115" s="14">
        <f>D102</f>
        <v>111.06</v>
      </c>
    </row>
    <row r="116" spans="1:4" x14ac:dyDescent="0.2">
      <c r="A116" s="27" t="s">
        <v>53</v>
      </c>
      <c r="B116" s="100" t="s">
        <v>87</v>
      </c>
      <c r="C116" s="100"/>
      <c r="D116" s="14">
        <f>D109</f>
        <v>0</v>
      </c>
    </row>
    <row r="117" spans="1:4" x14ac:dyDescent="0.2">
      <c r="A117" s="98" t="s">
        <v>16</v>
      </c>
      <c r="B117" s="98"/>
      <c r="C117" s="98"/>
      <c r="D117" s="17">
        <f>SUM(D115:D116)</f>
        <v>111.06</v>
      </c>
    </row>
    <row r="120" spans="1:4" x14ac:dyDescent="0.2">
      <c r="A120" s="99" t="s">
        <v>56</v>
      </c>
      <c r="B120" s="99"/>
      <c r="C120" s="99"/>
      <c r="D120" s="99"/>
    </row>
    <row r="122" spans="1:4" x14ac:dyDescent="0.2">
      <c r="A122" s="28">
        <v>5</v>
      </c>
      <c r="B122" s="109" t="s">
        <v>57</v>
      </c>
      <c r="C122" s="109"/>
      <c r="D122" s="28" t="s">
        <v>3</v>
      </c>
    </row>
    <row r="123" spans="1:4" x14ac:dyDescent="0.2">
      <c r="A123" s="27" t="s">
        <v>4</v>
      </c>
      <c r="B123" s="100" t="s">
        <v>58</v>
      </c>
      <c r="C123" s="100"/>
      <c r="D123" s="13">
        <v>105.95</v>
      </c>
    </row>
    <row r="124" spans="1:4" x14ac:dyDescent="0.2">
      <c r="A124" s="27" t="s">
        <v>6</v>
      </c>
      <c r="B124" s="100" t="s">
        <v>59</v>
      </c>
      <c r="C124" s="100"/>
      <c r="D124" s="13">
        <v>2.2599999999999998</v>
      </c>
    </row>
    <row r="125" spans="1:4" x14ac:dyDescent="0.2">
      <c r="A125" s="27" t="s">
        <v>8</v>
      </c>
      <c r="B125" s="100" t="s">
        <v>60</v>
      </c>
      <c r="C125" s="100"/>
      <c r="D125" s="13">
        <v>21.12</v>
      </c>
    </row>
    <row r="126" spans="1:4" x14ac:dyDescent="0.2">
      <c r="A126" s="27" t="s">
        <v>10</v>
      </c>
      <c r="B126" s="100" t="s">
        <v>180</v>
      </c>
      <c r="C126" s="100"/>
      <c r="D126" s="13">
        <v>93.59</v>
      </c>
    </row>
    <row r="127" spans="1:4" x14ac:dyDescent="0.2">
      <c r="A127" s="93" t="s">
        <v>12</v>
      </c>
      <c r="B127" s="100" t="s">
        <v>208</v>
      </c>
      <c r="C127" s="100"/>
      <c r="D127" s="13">
        <v>84</v>
      </c>
    </row>
    <row r="128" spans="1:4" x14ac:dyDescent="0.2">
      <c r="A128" s="98" t="s">
        <v>36</v>
      </c>
      <c r="B128" s="98"/>
      <c r="C128" s="98"/>
      <c r="D128" s="18">
        <f>SUM(D123:D127)</f>
        <v>306.92</v>
      </c>
    </row>
    <row r="131" spans="1:4" x14ac:dyDescent="0.2">
      <c r="A131" s="99" t="s">
        <v>61</v>
      </c>
      <c r="B131" s="99"/>
      <c r="C131" s="99"/>
      <c r="D131" s="99"/>
    </row>
    <row r="133" spans="1:4" x14ac:dyDescent="0.2">
      <c r="A133" s="28">
        <v>6</v>
      </c>
      <c r="B133" s="30" t="s">
        <v>62</v>
      </c>
      <c r="C133" s="28" t="s">
        <v>25</v>
      </c>
      <c r="D133" s="28" t="s">
        <v>3</v>
      </c>
    </row>
    <row r="134" spans="1:4" x14ac:dyDescent="0.2">
      <c r="A134" s="27" t="s">
        <v>4</v>
      </c>
      <c r="B134" s="29" t="s">
        <v>63</v>
      </c>
      <c r="C134" s="9">
        <v>0.06</v>
      </c>
      <c r="D134" s="14">
        <f>D154*C134</f>
        <v>370.18774772727272</v>
      </c>
    </row>
    <row r="135" spans="1:4" x14ac:dyDescent="0.2">
      <c r="A135" s="27" t="s">
        <v>6</v>
      </c>
      <c r="B135" s="29" t="s">
        <v>64</v>
      </c>
      <c r="C135" s="9">
        <v>6.7900000000000002E-2</v>
      </c>
      <c r="D135" s="13">
        <f>(D154+D134)*C135</f>
        <v>444.06488258204547</v>
      </c>
    </row>
    <row r="136" spans="1:4" x14ac:dyDescent="0.2">
      <c r="A136" s="27" t="s">
        <v>8</v>
      </c>
      <c r="B136" s="29" t="s">
        <v>65</v>
      </c>
      <c r="C136" s="12">
        <f>SUM(C137:C142)</f>
        <v>8.6499999999999994E-2</v>
      </c>
      <c r="D136" s="13">
        <f>(D154+D134+D135)*C136/(1-C136)</f>
        <v>661.32478251622797</v>
      </c>
    </row>
    <row r="137" spans="1:4" x14ac:dyDescent="0.2">
      <c r="A137" s="27"/>
      <c r="B137" s="29" t="s">
        <v>66</v>
      </c>
      <c r="C137" s="9"/>
      <c r="D137" s="14">
        <f>$D$156*C137</f>
        <v>0</v>
      </c>
    </row>
    <row r="138" spans="1:4" x14ac:dyDescent="0.2">
      <c r="A138" s="27"/>
      <c r="B138" s="29" t="s">
        <v>96</v>
      </c>
      <c r="C138" s="9">
        <v>6.4999999999999997E-3</v>
      </c>
      <c r="D138" s="14">
        <f t="shared" ref="D138:D142" si="3">$D$156*C138</f>
        <v>49.694925853820592</v>
      </c>
    </row>
    <row r="139" spans="1:4" x14ac:dyDescent="0.2">
      <c r="A139" s="27"/>
      <c r="B139" s="29" t="s">
        <v>97</v>
      </c>
      <c r="C139" s="9">
        <v>0.03</v>
      </c>
      <c r="D139" s="14">
        <f t="shared" si="3"/>
        <v>229.36119624840273</v>
      </c>
    </row>
    <row r="140" spans="1:4" x14ac:dyDescent="0.2">
      <c r="A140" s="27"/>
      <c r="B140" s="29" t="s">
        <v>67</v>
      </c>
      <c r="C140" s="27"/>
      <c r="D140" s="14">
        <f t="shared" si="3"/>
        <v>0</v>
      </c>
    </row>
    <row r="141" spans="1:4" x14ac:dyDescent="0.2">
      <c r="A141" s="27"/>
      <c r="B141" s="29" t="s">
        <v>68</v>
      </c>
      <c r="C141" s="9"/>
      <c r="D141" s="14">
        <f t="shared" si="3"/>
        <v>0</v>
      </c>
    </row>
    <row r="142" spans="1:4" x14ac:dyDescent="0.2">
      <c r="A142" s="27"/>
      <c r="B142" s="29" t="s">
        <v>98</v>
      </c>
      <c r="C142" s="9">
        <v>0.05</v>
      </c>
      <c r="D142" s="14">
        <f t="shared" si="3"/>
        <v>382.26866041400461</v>
      </c>
    </row>
    <row r="143" spans="1:4" ht="13.5" x14ac:dyDescent="0.2">
      <c r="A143" s="101" t="s">
        <v>36</v>
      </c>
      <c r="B143" s="110"/>
      <c r="C143" s="19">
        <f>(1+C135)*(1+C134)/(1-C136)-1</f>
        <v>0.2391614668856048</v>
      </c>
      <c r="D143" s="17">
        <f>SUM(D134:D136)</f>
        <v>1475.5774128255462</v>
      </c>
    </row>
    <row r="146" spans="1:4" x14ac:dyDescent="0.2">
      <c r="A146" s="99" t="s">
        <v>69</v>
      </c>
      <c r="B146" s="99"/>
      <c r="C146" s="99"/>
      <c r="D146" s="99"/>
    </row>
    <row r="148" spans="1:4" x14ac:dyDescent="0.2">
      <c r="A148" s="28"/>
      <c r="B148" s="98" t="s">
        <v>70</v>
      </c>
      <c r="C148" s="98"/>
      <c r="D148" s="28" t="s">
        <v>3</v>
      </c>
    </row>
    <row r="149" spans="1:4" x14ac:dyDescent="0.2">
      <c r="A149" s="28" t="s">
        <v>4</v>
      </c>
      <c r="B149" s="100" t="s">
        <v>1</v>
      </c>
      <c r="C149" s="100"/>
      <c r="D149" s="20">
        <f>D26</f>
        <v>2923.0466454545453</v>
      </c>
    </row>
    <row r="150" spans="1:4" x14ac:dyDescent="0.2">
      <c r="A150" s="28" t="s">
        <v>6</v>
      </c>
      <c r="B150" s="100" t="s">
        <v>17</v>
      </c>
      <c r="C150" s="100"/>
      <c r="D150" s="20">
        <f>D75</f>
        <v>2648.7391500000003</v>
      </c>
    </row>
    <row r="151" spans="1:4" x14ac:dyDescent="0.2">
      <c r="A151" s="28" t="s">
        <v>8</v>
      </c>
      <c r="B151" s="100" t="s">
        <v>44</v>
      </c>
      <c r="C151" s="100"/>
      <c r="D151" s="20">
        <f>D87</f>
        <v>180.02999999999997</v>
      </c>
    </row>
    <row r="152" spans="1:4" x14ac:dyDescent="0.2">
      <c r="A152" s="28" t="s">
        <v>10</v>
      </c>
      <c r="B152" s="100" t="s">
        <v>51</v>
      </c>
      <c r="C152" s="100"/>
      <c r="D152" s="20">
        <f>D117</f>
        <v>111.06</v>
      </c>
    </row>
    <row r="153" spans="1:4" x14ac:dyDescent="0.2">
      <c r="A153" s="28" t="s">
        <v>12</v>
      </c>
      <c r="B153" s="100" t="s">
        <v>56</v>
      </c>
      <c r="C153" s="100"/>
      <c r="D153" s="20">
        <f>D128</f>
        <v>306.92</v>
      </c>
    </row>
    <row r="154" spans="1:4" x14ac:dyDescent="0.2">
      <c r="A154" s="98" t="s">
        <v>95</v>
      </c>
      <c r="B154" s="98"/>
      <c r="C154" s="98"/>
      <c r="D154" s="21">
        <f>SUM(D149:D153)</f>
        <v>6169.7957954545454</v>
      </c>
    </row>
    <row r="155" spans="1:4" x14ac:dyDescent="0.2">
      <c r="A155" s="28" t="s">
        <v>31</v>
      </c>
      <c r="B155" s="100" t="s">
        <v>71</v>
      </c>
      <c r="C155" s="100"/>
      <c r="D155" s="22">
        <f>D143</f>
        <v>1475.5774128255462</v>
      </c>
    </row>
    <row r="156" spans="1:4" x14ac:dyDescent="0.2">
      <c r="A156" s="98" t="s">
        <v>72</v>
      </c>
      <c r="B156" s="98"/>
      <c r="C156" s="98"/>
      <c r="D156" s="21">
        <f>SUM(D154:D155)</f>
        <v>7645.3732082800916</v>
      </c>
    </row>
  </sheetData>
  <mergeCells count="80">
    <mergeCell ref="C10:D10"/>
    <mergeCell ref="A1:D1"/>
    <mergeCell ref="A3:D3"/>
    <mergeCell ref="A5:B5"/>
    <mergeCell ref="A6:B6"/>
    <mergeCell ref="A8:D8"/>
    <mergeCell ref="B24:C24"/>
    <mergeCell ref="C11:D11"/>
    <mergeCell ref="C12:D12"/>
    <mergeCell ref="C13:D13"/>
    <mergeCell ref="C14:D14"/>
    <mergeCell ref="A16:D16"/>
    <mergeCell ref="B18:C18"/>
    <mergeCell ref="B19:C19"/>
    <mergeCell ref="B20:C20"/>
    <mergeCell ref="B21:C21"/>
    <mergeCell ref="B22:C22"/>
    <mergeCell ref="B23:C23"/>
    <mergeCell ref="B58:C58"/>
    <mergeCell ref="B25:C25"/>
    <mergeCell ref="A26:C26"/>
    <mergeCell ref="A29:D29"/>
    <mergeCell ref="A31:D31"/>
    <mergeCell ref="B33:C33"/>
    <mergeCell ref="A37:B37"/>
    <mergeCell ref="A40:D40"/>
    <mergeCell ref="A51:B51"/>
    <mergeCell ref="A54:D54"/>
    <mergeCell ref="B56:C56"/>
    <mergeCell ref="B57:C57"/>
    <mergeCell ref="A75:C75"/>
    <mergeCell ref="B60:C60"/>
    <mergeCell ref="B61:C61"/>
    <mergeCell ref="A66:C66"/>
    <mergeCell ref="A69:D69"/>
    <mergeCell ref="B71:C71"/>
    <mergeCell ref="B72:C72"/>
    <mergeCell ref="B73:C73"/>
    <mergeCell ref="B74:C74"/>
    <mergeCell ref="B63:C63"/>
    <mergeCell ref="B64:C64"/>
    <mergeCell ref="B65:C65"/>
    <mergeCell ref="A112:D112"/>
    <mergeCell ref="A78:D78"/>
    <mergeCell ref="B80:C80"/>
    <mergeCell ref="A87:C87"/>
    <mergeCell ref="A90:D90"/>
    <mergeCell ref="A93:D93"/>
    <mergeCell ref="B95:C95"/>
    <mergeCell ref="A102:C102"/>
    <mergeCell ref="A105:D105"/>
    <mergeCell ref="B107:C107"/>
    <mergeCell ref="B108:C108"/>
    <mergeCell ref="A109:C109"/>
    <mergeCell ref="B115:C115"/>
    <mergeCell ref="B116:C116"/>
    <mergeCell ref="A117:C117"/>
    <mergeCell ref="A120:D120"/>
    <mergeCell ref="B122:C122"/>
    <mergeCell ref="A156:C156"/>
    <mergeCell ref="B59:C59"/>
    <mergeCell ref="B62:C62"/>
    <mergeCell ref="B150:C150"/>
    <mergeCell ref="B151:C151"/>
    <mergeCell ref="B152:C152"/>
    <mergeCell ref="B153:C153"/>
    <mergeCell ref="A154:C154"/>
    <mergeCell ref="B155:C155"/>
    <mergeCell ref="A128:C128"/>
    <mergeCell ref="A131:D131"/>
    <mergeCell ref="A143:B143"/>
    <mergeCell ref="A146:D146"/>
    <mergeCell ref="B148:C148"/>
    <mergeCell ref="B149:C149"/>
    <mergeCell ref="B114:C114"/>
    <mergeCell ref="B123:C123"/>
    <mergeCell ref="B124:C124"/>
    <mergeCell ref="B125:C125"/>
    <mergeCell ref="B126:C126"/>
    <mergeCell ref="B127:C127"/>
  </mergeCells>
  <pageMargins left="0.511811024" right="0.511811024" top="0.78740157499999996" bottom="0.78740157499999996" header="0.31496062000000002" footer="0.31496062000000002"/>
  <pageSetup paperSize="9" scale="84"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56"/>
  <sheetViews>
    <sheetView zoomScale="115" zoomScaleNormal="115" workbookViewId="0">
      <selection activeCell="F15" sqref="F15:G15"/>
    </sheetView>
  </sheetViews>
  <sheetFormatPr defaultRowHeight="12.75" x14ac:dyDescent="0.2"/>
  <cols>
    <col min="1" max="1" width="9.140625" style="1"/>
    <col min="2" max="2" width="60.28515625" style="1" customWidth="1"/>
    <col min="3" max="3" width="18" style="1" customWidth="1"/>
    <col min="4" max="4" width="21.42578125" style="1" customWidth="1"/>
    <col min="5" max="5" width="15.140625" style="1" customWidth="1"/>
    <col min="6" max="16384" width="9.140625" style="1"/>
  </cols>
  <sheetData>
    <row r="1" spans="1:4" ht="15.75" x14ac:dyDescent="0.25">
      <c r="A1" s="111" t="s">
        <v>0</v>
      </c>
      <c r="B1" s="111"/>
      <c r="C1" s="111"/>
      <c r="D1" s="111"/>
    </row>
    <row r="2" spans="1:4" ht="15.75" x14ac:dyDescent="0.25">
      <c r="A2" s="24"/>
      <c r="B2" s="24"/>
      <c r="C2" s="24"/>
      <c r="D2" s="24"/>
    </row>
    <row r="3" spans="1:4" x14ac:dyDescent="0.2">
      <c r="A3" s="106" t="s">
        <v>89</v>
      </c>
      <c r="B3" s="106"/>
      <c r="C3" s="106"/>
      <c r="D3" s="106"/>
    </row>
    <row r="4" spans="1:4" x14ac:dyDescent="0.2">
      <c r="A4" s="2"/>
      <c r="B4" s="2"/>
      <c r="C4" s="2"/>
      <c r="D4" s="2"/>
    </row>
    <row r="5" spans="1:4" ht="38.25" x14ac:dyDescent="0.2">
      <c r="A5" s="113" t="s">
        <v>90</v>
      </c>
      <c r="B5" s="113"/>
      <c r="C5" s="34" t="s">
        <v>91</v>
      </c>
      <c r="D5" s="25" t="s">
        <v>92</v>
      </c>
    </row>
    <row r="6" spans="1:4" ht="25.5" customHeight="1" x14ac:dyDescent="0.2">
      <c r="A6" s="101" t="s">
        <v>112</v>
      </c>
      <c r="B6" s="102"/>
      <c r="C6" s="35" t="s">
        <v>100</v>
      </c>
      <c r="D6" s="35">
        <v>2</v>
      </c>
    </row>
    <row r="8" spans="1:4" x14ac:dyDescent="0.2">
      <c r="A8" s="106" t="s">
        <v>73</v>
      </c>
      <c r="B8" s="106"/>
      <c r="C8" s="106"/>
      <c r="D8" s="106"/>
    </row>
    <row r="9" spans="1:4" x14ac:dyDescent="0.2">
      <c r="A9" s="2"/>
      <c r="B9" s="2"/>
      <c r="C9" s="2"/>
      <c r="D9" s="2"/>
    </row>
    <row r="10" spans="1:4" x14ac:dyDescent="0.2">
      <c r="A10" s="5">
        <v>1</v>
      </c>
      <c r="B10" s="5" t="s">
        <v>74</v>
      </c>
      <c r="C10" s="103" t="s">
        <v>113</v>
      </c>
      <c r="D10" s="104"/>
    </row>
    <row r="11" spans="1:4" x14ac:dyDescent="0.2">
      <c r="A11" s="5">
        <v>2</v>
      </c>
      <c r="B11" s="5" t="s">
        <v>93</v>
      </c>
      <c r="C11" s="103">
        <v>517330</v>
      </c>
      <c r="D11" s="104"/>
    </row>
    <row r="12" spans="1:4" x14ac:dyDescent="0.2">
      <c r="A12" s="5">
        <v>3</v>
      </c>
      <c r="B12" s="5" t="s">
        <v>75</v>
      </c>
      <c r="C12" s="103">
        <v>1471.22</v>
      </c>
      <c r="D12" s="104"/>
    </row>
    <row r="13" spans="1:4" x14ac:dyDescent="0.2">
      <c r="A13" s="5">
        <v>4</v>
      </c>
      <c r="B13" s="5" t="s">
        <v>76</v>
      </c>
      <c r="C13" s="103" t="s">
        <v>102</v>
      </c>
      <c r="D13" s="104"/>
    </row>
    <row r="14" spans="1:4" x14ac:dyDescent="0.2">
      <c r="A14" s="5">
        <v>5</v>
      </c>
      <c r="B14" s="5" t="s">
        <v>77</v>
      </c>
      <c r="C14" s="105">
        <v>45292</v>
      </c>
      <c r="D14" s="104"/>
    </row>
    <row r="16" spans="1:4" x14ac:dyDescent="0.2">
      <c r="A16" s="106" t="s">
        <v>1</v>
      </c>
      <c r="B16" s="106"/>
      <c r="C16" s="106"/>
      <c r="D16" s="106"/>
    </row>
    <row r="18" spans="1:4" x14ac:dyDescent="0.2">
      <c r="A18" s="32">
        <v>1</v>
      </c>
      <c r="B18" s="98" t="s">
        <v>2</v>
      </c>
      <c r="C18" s="98"/>
      <c r="D18" s="32" t="s">
        <v>3</v>
      </c>
    </row>
    <row r="19" spans="1:4" x14ac:dyDescent="0.2">
      <c r="A19" s="34" t="s">
        <v>4</v>
      </c>
      <c r="B19" s="100" t="s">
        <v>5</v>
      </c>
      <c r="C19" s="100"/>
      <c r="D19" s="13">
        <v>1471.22</v>
      </c>
    </row>
    <row r="20" spans="1:4" x14ac:dyDescent="0.2">
      <c r="A20" s="34" t="s">
        <v>6</v>
      </c>
      <c r="B20" s="100" t="s">
        <v>7</v>
      </c>
      <c r="C20" s="100"/>
      <c r="D20" s="13">
        <f>D19*0.3</f>
        <v>441.36599999999999</v>
      </c>
    </row>
    <row r="21" spans="1:4" x14ac:dyDescent="0.2">
      <c r="A21" s="34" t="s">
        <v>8</v>
      </c>
      <c r="B21" s="100" t="s">
        <v>9</v>
      </c>
      <c r="C21" s="100"/>
      <c r="D21" s="13"/>
    </row>
    <row r="22" spans="1:4" x14ac:dyDescent="0.2">
      <c r="A22" s="34" t="s">
        <v>10</v>
      </c>
      <c r="B22" s="100" t="s">
        <v>11</v>
      </c>
      <c r="C22" s="100"/>
      <c r="D22" s="13"/>
    </row>
    <row r="23" spans="1:4" x14ac:dyDescent="0.2">
      <c r="A23" s="34" t="s">
        <v>12</v>
      </c>
      <c r="B23" s="100" t="s">
        <v>13</v>
      </c>
      <c r="C23" s="100"/>
      <c r="D23" s="13"/>
    </row>
    <row r="24" spans="1:4" x14ac:dyDescent="0.2">
      <c r="A24" s="34" t="s">
        <v>31</v>
      </c>
      <c r="B24" s="100" t="s">
        <v>114</v>
      </c>
      <c r="C24" s="100"/>
      <c r="D24" s="13">
        <v>0</v>
      </c>
    </row>
    <row r="25" spans="1:4" x14ac:dyDescent="0.2">
      <c r="A25" s="34" t="s">
        <v>14</v>
      </c>
      <c r="B25" s="100" t="s">
        <v>15</v>
      </c>
      <c r="C25" s="100"/>
      <c r="D25" s="13"/>
    </row>
    <row r="26" spans="1:4" x14ac:dyDescent="0.2">
      <c r="A26" s="98" t="s">
        <v>16</v>
      </c>
      <c r="B26" s="98"/>
      <c r="C26" s="98"/>
      <c r="D26" s="18">
        <f>SUM(D19:D25)</f>
        <v>1912.586</v>
      </c>
    </row>
    <row r="29" spans="1:4" x14ac:dyDescent="0.2">
      <c r="A29" s="99" t="s">
        <v>17</v>
      </c>
      <c r="B29" s="99"/>
      <c r="C29" s="99"/>
      <c r="D29" s="99"/>
    </row>
    <row r="30" spans="1:4" x14ac:dyDescent="0.2">
      <c r="A30" s="3"/>
    </row>
    <row r="31" spans="1:4" x14ac:dyDescent="0.2">
      <c r="A31" s="96" t="s">
        <v>18</v>
      </c>
      <c r="B31" s="96"/>
      <c r="C31" s="96"/>
      <c r="D31" s="96"/>
    </row>
    <row r="33" spans="1:5" x14ac:dyDescent="0.2">
      <c r="A33" s="32" t="s">
        <v>19</v>
      </c>
      <c r="B33" s="98" t="s">
        <v>20</v>
      </c>
      <c r="C33" s="98"/>
      <c r="D33" s="32" t="s">
        <v>3</v>
      </c>
    </row>
    <row r="34" spans="1:5" x14ac:dyDescent="0.2">
      <c r="A34" s="34" t="s">
        <v>4</v>
      </c>
      <c r="B34" s="31" t="s">
        <v>21</v>
      </c>
      <c r="C34" s="12">
        <f>TRUNC(1/12,4)</f>
        <v>8.3299999999999999E-2</v>
      </c>
      <c r="D34" s="13">
        <f>TRUNC($D$26*C34,2)</f>
        <v>159.31</v>
      </c>
    </row>
    <row r="35" spans="1:5" x14ac:dyDescent="0.2">
      <c r="A35" s="34" t="s">
        <v>6</v>
      </c>
      <c r="B35" s="31" t="s">
        <v>117</v>
      </c>
      <c r="C35" s="12">
        <f>TRUNC(((1)/12),4)</f>
        <v>8.3299999999999999E-2</v>
      </c>
      <c r="D35" s="13">
        <f>TRUNC($D$26*C35,2)</f>
        <v>159.31</v>
      </c>
    </row>
    <row r="36" spans="1:5" x14ac:dyDescent="0.2">
      <c r="A36" s="34" t="s">
        <v>8</v>
      </c>
      <c r="B36" s="31" t="s">
        <v>118</v>
      </c>
      <c r="C36" s="36">
        <f>TRUNC(((51%)/12),4)</f>
        <v>4.2500000000000003E-2</v>
      </c>
      <c r="D36" s="13">
        <f>TRUNC($D$19*C36,2)</f>
        <v>62.52</v>
      </c>
      <c r="E36" s="81"/>
    </row>
    <row r="37" spans="1:5" x14ac:dyDescent="0.2">
      <c r="A37" s="98" t="s">
        <v>16</v>
      </c>
      <c r="B37" s="98"/>
      <c r="C37" s="26">
        <f>SUM(C34:C36)</f>
        <v>0.20910000000000001</v>
      </c>
      <c r="D37" s="17">
        <f>SUM(D34:D36)</f>
        <v>381.14</v>
      </c>
    </row>
    <row r="40" spans="1:5" x14ac:dyDescent="0.2">
      <c r="A40" s="112" t="s">
        <v>22</v>
      </c>
      <c r="B40" s="112"/>
      <c r="C40" s="112"/>
      <c r="D40" s="112"/>
    </row>
    <row r="42" spans="1:5" x14ac:dyDescent="0.2">
      <c r="A42" s="32" t="s">
        <v>23</v>
      </c>
      <c r="B42" s="32" t="s">
        <v>24</v>
      </c>
      <c r="C42" s="32" t="s">
        <v>25</v>
      </c>
      <c r="D42" s="32" t="s">
        <v>3</v>
      </c>
    </row>
    <row r="43" spans="1:5" x14ac:dyDescent="0.2">
      <c r="A43" s="34" t="s">
        <v>4</v>
      </c>
      <c r="B43" s="31" t="s">
        <v>26</v>
      </c>
      <c r="C43" s="9">
        <v>0.2</v>
      </c>
      <c r="D43" s="13">
        <f>TRUNC(($D$26+$D$37)*C43,2)</f>
        <v>458.74</v>
      </c>
    </row>
    <row r="44" spans="1:5" x14ac:dyDescent="0.2">
      <c r="A44" s="34" t="s">
        <v>6</v>
      </c>
      <c r="B44" s="31" t="s">
        <v>27</v>
      </c>
      <c r="C44" s="9">
        <v>2.5000000000000001E-2</v>
      </c>
      <c r="D44" s="13">
        <f t="shared" ref="D44:D50" si="0">TRUNC(($D$26+$D$37)*C44,2)</f>
        <v>57.34</v>
      </c>
    </row>
    <row r="45" spans="1:5" x14ac:dyDescent="0.2">
      <c r="A45" s="34" t="s">
        <v>8</v>
      </c>
      <c r="B45" s="31" t="s">
        <v>28</v>
      </c>
      <c r="C45" s="16">
        <v>0.03</v>
      </c>
      <c r="D45" s="13">
        <f t="shared" si="0"/>
        <v>68.81</v>
      </c>
    </row>
    <row r="46" spans="1:5" x14ac:dyDescent="0.2">
      <c r="A46" s="34" t="s">
        <v>10</v>
      </c>
      <c r="B46" s="31" t="s">
        <v>29</v>
      </c>
      <c r="C46" s="9">
        <v>1.4999999999999999E-2</v>
      </c>
      <c r="D46" s="13">
        <f t="shared" si="0"/>
        <v>34.4</v>
      </c>
    </row>
    <row r="47" spans="1:5" x14ac:dyDescent="0.2">
      <c r="A47" s="34" t="s">
        <v>12</v>
      </c>
      <c r="B47" s="31" t="s">
        <v>30</v>
      </c>
      <c r="C47" s="9">
        <v>0.01</v>
      </c>
      <c r="D47" s="13">
        <f t="shared" si="0"/>
        <v>22.93</v>
      </c>
    </row>
    <row r="48" spans="1:5" x14ac:dyDescent="0.2">
      <c r="A48" s="34" t="s">
        <v>31</v>
      </c>
      <c r="B48" s="31" t="s">
        <v>32</v>
      </c>
      <c r="C48" s="9">
        <v>6.0000000000000001E-3</v>
      </c>
      <c r="D48" s="13">
        <f t="shared" si="0"/>
        <v>13.76</v>
      </c>
    </row>
    <row r="49" spans="1:4" x14ac:dyDescent="0.2">
      <c r="A49" s="34" t="s">
        <v>14</v>
      </c>
      <c r="B49" s="31" t="s">
        <v>33</v>
      </c>
      <c r="C49" s="9">
        <v>2E-3</v>
      </c>
      <c r="D49" s="13">
        <f t="shared" si="0"/>
        <v>4.58</v>
      </c>
    </row>
    <row r="50" spans="1:4" x14ac:dyDescent="0.2">
      <c r="A50" s="34" t="s">
        <v>34</v>
      </c>
      <c r="B50" s="31" t="s">
        <v>35</v>
      </c>
      <c r="C50" s="9">
        <v>0.08</v>
      </c>
      <c r="D50" s="13">
        <f t="shared" si="0"/>
        <v>183.49</v>
      </c>
    </row>
    <row r="51" spans="1:4" x14ac:dyDescent="0.2">
      <c r="A51" s="98" t="s">
        <v>36</v>
      </c>
      <c r="B51" s="98"/>
      <c r="C51" s="15">
        <f>SUM(C43:C50)</f>
        <v>0.36800000000000005</v>
      </c>
      <c r="D51" s="17">
        <f>SUM(D43:D50)</f>
        <v>844.05000000000007</v>
      </c>
    </row>
    <row r="54" spans="1:4" x14ac:dyDescent="0.2">
      <c r="A54" s="96" t="s">
        <v>37</v>
      </c>
      <c r="B54" s="96"/>
      <c r="C54" s="96"/>
      <c r="D54" s="96"/>
    </row>
    <row r="56" spans="1:4" x14ac:dyDescent="0.2">
      <c r="A56" s="32" t="s">
        <v>38</v>
      </c>
      <c r="B56" s="97" t="s">
        <v>39</v>
      </c>
      <c r="C56" s="97"/>
      <c r="D56" s="32" t="s">
        <v>3</v>
      </c>
    </row>
    <row r="57" spans="1:4" x14ac:dyDescent="0.2">
      <c r="A57" s="34" t="s">
        <v>4</v>
      </c>
      <c r="B57" s="100" t="s">
        <v>40</v>
      </c>
      <c r="C57" s="100"/>
      <c r="D57" s="13">
        <f>(22*2*5.2)-(D19*0.06)</f>
        <v>140.52680000000001</v>
      </c>
    </row>
    <row r="58" spans="1:4" x14ac:dyDescent="0.2">
      <c r="A58" s="34" t="s">
        <v>6</v>
      </c>
      <c r="B58" s="100" t="s">
        <v>41</v>
      </c>
      <c r="C58" s="100"/>
      <c r="D58" s="13">
        <f>16.59*22*0.85</f>
        <v>310.233</v>
      </c>
    </row>
    <row r="59" spans="1:4" x14ac:dyDescent="0.2">
      <c r="A59" s="34" t="s">
        <v>8</v>
      </c>
      <c r="B59" s="100" t="s">
        <v>110</v>
      </c>
      <c r="C59" s="100"/>
      <c r="D59" s="13"/>
    </row>
    <row r="60" spans="1:4" x14ac:dyDescent="0.2">
      <c r="A60" s="34" t="s">
        <v>10</v>
      </c>
      <c r="B60" s="100" t="s">
        <v>104</v>
      </c>
      <c r="C60" s="100"/>
      <c r="D60" s="13">
        <v>8.5</v>
      </c>
    </row>
    <row r="61" spans="1:4" x14ac:dyDescent="0.2">
      <c r="A61" s="34" t="s">
        <v>12</v>
      </c>
      <c r="B61" s="100" t="s">
        <v>105</v>
      </c>
      <c r="C61" s="100"/>
      <c r="D61" s="13">
        <v>3.5</v>
      </c>
    </row>
    <row r="62" spans="1:4" x14ac:dyDescent="0.2">
      <c r="A62" s="34" t="s">
        <v>31</v>
      </c>
      <c r="B62" s="100" t="s">
        <v>111</v>
      </c>
      <c r="C62" s="100"/>
      <c r="D62" s="13"/>
    </row>
    <row r="63" spans="1:4" x14ac:dyDescent="0.2">
      <c r="A63" s="41" t="s">
        <v>14</v>
      </c>
      <c r="B63" s="100" t="s">
        <v>179</v>
      </c>
      <c r="C63" s="100"/>
      <c r="D63" s="13">
        <f>(13.04*8)/12</f>
        <v>8.6933333333333334</v>
      </c>
    </row>
    <row r="64" spans="1:4" x14ac:dyDescent="0.2">
      <c r="A64" s="93" t="s">
        <v>34</v>
      </c>
      <c r="B64" s="100" t="s">
        <v>207</v>
      </c>
      <c r="C64" s="100"/>
      <c r="D64" s="13">
        <f>D19*0.22*(21/24)</f>
        <v>283.20985000000002</v>
      </c>
    </row>
    <row r="65" spans="1:4" x14ac:dyDescent="0.2">
      <c r="A65" s="93" t="s">
        <v>206</v>
      </c>
      <c r="B65" s="100" t="s">
        <v>209</v>
      </c>
      <c r="C65" s="100"/>
      <c r="D65" s="13">
        <f>233.73*(2/3)</f>
        <v>155.82</v>
      </c>
    </row>
    <row r="66" spans="1:4" x14ac:dyDescent="0.2">
      <c r="A66" s="98" t="s">
        <v>16</v>
      </c>
      <c r="B66" s="98"/>
      <c r="C66" s="98"/>
      <c r="D66" s="17">
        <f>SUM(D57:D65)</f>
        <v>910.48298333333332</v>
      </c>
    </row>
    <row r="69" spans="1:4" x14ac:dyDescent="0.2">
      <c r="A69" s="96" t="s">
        <v>42</v>
      </c>
      <c r="B69" s="96"/>
      <c r="C69" s="96"/>
      <c r="D69" s="96"/>
    </row>
    <row r="71" spans="1:4" x14ac:dyDescent="0.2">
      <c r="A71" s="32">
        <v>2</v>
      </c>
      <c r="B71" s="97" t="s">
        <v>43</v>
      </c>
      <c r="C71" s="97"/>
      <c r="D71" s="32" t="s">
        <v>3</v>
      </c>
    </row>
    <row r="72" spans="1:4" x14ac:dyDescent="0.2">
      <c r="A72" s="34" t="s">
        <v>19</v>
      </c>
      <c r="B72" s="100" t="s">
        <v>20</v>
      </c>
      <c r="C72" s="100"/>
      <c r="D72" s="14">
        <f>D37</f>
        <v>381.14</v>
      </c>
    </row>
    <row r="73" spans="1:4" x14ac:dyDescent="0.2">
      <c r="A73" s="34" t="s">
        <v>23</v>
      </c>
      <c r="B73" s="100" t="s">
        <v>24</v>
      </c>
      <c r="C73" s="100"/>
      <c r="D73" s="14">
        <f>D51</f>
        <v>844.05000000000007</v>
      </c>
    </row>
    <row r="74" spans="1:4" x14ac:dyDescent="0.2">
      <c r="A74" s="34" t="s">
        <v>38</v>
      </c>
      <c r="B74" s="100" t="s">
        <v>39</v>
      </c>
      <c r="C74" s="100"/>
      <c r="D74" s="14">
        <f>D66</f>
        <v>910.48298333333332</v>
      </c>
    </row>
    <row r="75" spans="1:4" x14ac:dyDescent="0.2">
      <c r="A75" s="98" t="s">
        <v>16</v>
      </c>
      <c r="B75" s="98"/>
      <c r="C75" s="98"/>
      <c r="D75" s="17">
        <f>SUM(D72:D74)</f>
        <v>2135.6729833333334</v>
      </c>
    </row>
    <row r="76" spans="1:4" x14ac:dyDescent="0.2">
      <c r="A76" s="4"/>
    </row>
    <row r="78" spans="1:4" x14ac:dyDescent="0.2">
      <c r="A78" s="99" t="s">
        <v>44</v>
      </c>
      <c r="B78" s="99"/>
      <c r="C78" s="99"/>
      <c r="D78" s="99"/>
    </row>
    <row r="79" spans="1:4" ht="12.75" customHeight="1" x14ac:dyDescent="0.2"/>
    <row r="80" spans="1:4" x14ac:dyDescent="0.2">
      <c r="A80" s="32">
        <v>3</v>
      </c>
      <c r="B80" s="97" t="s">
        <v>45</v>
      </c>
      <c r="C80" s="97"/>
      <c r="D80" s="32" t="s">
        <v>3</v>
      </c>
    </row>
    <row r="81" spans="1:4" x14ac:dyDescent="0.2">
      <c r="A81" s="34" t="s">
        <v>4</v>
      </c>
      <c r="B81" s="10" t="s">
        <v>46</v>
      </c>
      <c r="C81" s="9">
        <f>TRUNC(((1/12)*5%),4)</f>
        <v>4.1000000000000003E-3</v>
      </c>
      <c r="D81" s="13">
        <f>TRUNC($D$26*C81,2)</f>
        <v>7.84</v>
      </c>
    </row>
    <row r="82" spans="1:4" x14ac:dyDescent="0.2">
      <c r="A82" s="34" t="s">
        <v>6</v>
      </c>
      <c r="B82" s="10" t="s">
        <v>47</v>
      </c>
      <c r="C82" s="9">
        <v>0.08</v>
      </c>
      <c r="D82" s="13">
        <f>TRUNC(D81*C82,2)</f>
        <v>0.62</v>
      </c>
    </row>
    <row r="83" spans="1:4" x14ac:dyDescent="0.2">
      <c r="A83" s="34" t="s">
        <v>8</v>
      </c>
      <c r="B83" s="10" t="s">
        <v>48</v>
      </c>
      <c r="C83" s="9">
        <f>TRUNC(8%*5%*40%,4)</f>
        <v>1.6000000000000001E-3</v>
      </c>
      <c r="D83" s="13">
        <f>TRUNC($D$26*C83,2)</f>
        <v>3.06</v>
      </c>
    </row>
    <row r="84" spans="1:4" x14ac:dyDescent="0.2">
      <c r="A84" s="34" t="s">
        <v>10</v>
      </c>
      <c r="B84" s="10" t="s">
        <v>49</v>
      </c>
      <c r="C84" s="9">
        <f>TRUNC(((7/30)/12)*95%,4)</f>
        <v>1.84E-2</v>
      </c>
      <c r="D84" s="13">
        <f>TRUNC($D$26*C84,2)</f>
        <v>35.19</v>
      </c>
    </row>
    <row r="85" spans="1:4" ht="25.5" x14ac:dyDescent="0.2">
      <c r="A85" s="34" t="s">
        <v>12</v>
      </c>
      <c r="B85" s="10" t="s">
        <v>94</v>
      </c>
      <c r="C85" s="9">
        <f>C51</f>
        <v>0.36800000000000005</v>
      </c>
      <c r="D85" s="13">
        <f>TRUNC(D84*C85,2)</f>
        <v>12.94</v>
      </c>
    </row>
    <row r="86" spans="1:4" x14ac:dyDescent="0.2">
      <c r="A86" s="34" t="s">
        <v>31</v>
      </c>
      <c r="B86" s="10" t="s">
        <v>50</v>
      </c>
      <c r="C86" s="9">
        <f>TRUNC(8%*95%*40%,4)</f>
        <v>3.04E-2</v>
      </c>
      <c r="D86" s="13">
        <f t="shared" ref="D86" si="1">TRUNC($D$26*C86,2)</f>
        <v>58.14</v>
      </c>
    </row>
    <row r="87" spans="1:4" x14ac:dyDescent="0.2">
      <c r="A87" s="101" t="s">
        <v>16</v>
      </c>
      <c r="B87" s="110"/>
      <c r="C87" s="102"/>
      <c r="D87" s="17">
        <f>SUM(D81:D86)</f>
        <v>117.78999999999999</v>
      </c>
    </row>
    <row r="90" spans="1:4" x14ac:dyDescent="0.2">
      <c r="A90" s="99" t="s">
        <v>51</v>
      </c>
      <c r="B90" s="99"/>
      <c r="C90" s="99"/>
      <c r="D90" s="99"/>
    </row>
    <row r="93" spans="1:4" x14ac:dyDescent="0.2">
      <c r="A93" s="96" t="s">
        <v>78</v>
      </c>
      <c r="B93" s="96"/>
      <c r="C93" s="96"/>
      <c r="D93" s="96"/>
    </row>
    <row r="94" spans="1:4" x14ac:dyDescent="0.2">
      <c r="A94" s="3"/>
    </row>
    <row r="95" spans="1:4" x14ac:dyDescent="0.2">
      <c r="A95" s="32" t="s">
        <v>52</v>
      </c>
      <c r="B95" s="97" t="s">
        <v>79</v>
      </c>
      <c r="C95" s="97"/>
      <c r="D95" s="32" t="s">
        <v>3</v>
      </c>
    </row>
    <row r="96" spans="1:4" x14ac:dyDescent="0.2">
      <c r="A96" s="34" t="s">
        <v>4</v>
      </c>
      <c r="B96" s="31" t="s">
        <v>80</v>
      </c>
      <c r="C96" s="9">
        <f>TRUNC(((1+1/3)/12)/12,4)</f>
        <v>9.1999999999999998E-3</v>
      </c>
      <c r="D96" s="13">
        <f t="shared" ref="D96:D101" si="2">TRUNC(($D$26+$D$75+$D$87)*C96,2)</f>
        <v>38.32</v>
      </c>
    </row>
    <row r="97" spans="1:4" x14ac:dyDescent="0.2">
      <c r="A97" s="34" t="s">
        <v>6</v>
      </c>
      <c r="B97" s="31" t="s">
        <v>81</v>
      </c>
      <c r="C97" s="9">
        <f>TRUNC(((2/30)/12),4)</f>
        <v>5.4999999999999997E-3</v>
      </c>
      <c r="D97" s="13">
        <f t="shared" si="2"/>
        <v>22.91</v>
      </c>
    </row>
    <row r="98" spans="1:4" x14ac:dyDescent="0.2">
      <c r="A98" s="34" t="s">
        <v>8</v>
      </c>
      <c r="B98" s="31" t="s">
        <v>82</v>
      </c>
      <c r="C98" s="9">
        <f>TRUNC(((5/30)/12)*2%,4)</f>
        <v>2.0000000000000001E-4</v>
      </c>
      <c r="D98" s="13">
        <f t="shared" si="2"/>
        <v>0.83</v>
      </c>
    </row>
    <row r="99" spans="1:4" x14ac:dyDescent="0.2">
      <c r="A99" s="34" t="s">
        <v>10</v>
      </c>
      <c r="B99" s="31" t="s">
        <v>83</v>
      </c>
      <c r="C99" s="9">
        <f>TRUNC(((15/30)/12)*8%,4)</f>
        <v>3.3E-3</v>
      </c>
      <c r="D99" s="13">
        <f t="shared" si="2"/>
        <v>13.74</v>
      </c>
    </row>
    <row r="100" spans="1:4" x14ac:dyDescent="0.2">
      <c r="A100" s="34" t="s">
        <v>12</v>
      </c>
      <c r="B100" s="31" t="s">
        <v>84</v>
      </c>
      <c r="C100" s="9">
        <f>((1+1/3)/12)*3%*(4/12)</f>
        <v>1.1111111111111109E-3</v>
      </c>
      <c r="D100" s="13">
        <f t="shared" si="2"/>
        <v>4.62</v>
      </c>
    </row>
    <row r="101" spans="1:4" x14ac:dyDescent="0.2">
      <c r="A101" s="34" t="s">
        <v>31</v>
      </c>
      <c r="B101" s="31" t="s">
        <v>85</v>
      </c>
      <c r="C101" s="9"/>
      <c r="D101" s="13">
        <f t="shared" si="2"/>
        <v>0</v>
      </c>
    </row>
    <row r="102" spans="1:4" x14ac:dyDescent="0.2">
      <c r="A102" s="98" t="s">
        <v>36</v>
      </c>
      <c r="B102" s="98"/>
      <c r="C102" s="98"/>
      <c r="D102" s="17">
        <f>SUM(D96:D101)</f>
        <v>80.42</v>
      </c>
    </row>
    <row r="105" spans="1:4" x14ac:dyDescent="0.2">
      <c r="A105" s="96" t="s">
        <v>86</v>
      </c>
      <c r="B105" s="96"/>
      <c r="C105" s="96"/>
      <c r="D105" s="96"/>
    </row>
    <row r="106" spans="1:4" x14ac:dyDescent="0.2">
      <c r="A106" s="3"/>
    </row>
    <row r="107" spans="1:4" x14ac:dyDescent="0.2">
      <c r="A107" s="32" t="s">
        <v>53</v>
      </c>
      <c r="B107" s="97" t="s">
        <v>87</v>
      </c>
      <c r="C107" s="97"/>
      <c r="D107" s="32" t="s">
        <v>3</v>
      </c>
    </row>
    <row r="108" spans="1:4" x14ac:dyDescent="0.2">
      <c r="A108" s="34" t="s">
        <v>4</v>
      </c>
      <c r="B108" s="107" t="s">
        <v>88</v>
      </c>
      <c r="C108" s="108"/>
      <c r="D108" s="13">
        <f>((D26+D75+D87)/220)*22*0</f>
        <v>0</v>
      </c>
    </row>
    <row r="109" spans="1:4" x14ac:dyDescent="0.2">
      <c r="A109" s="98" t="s">
        <v>16</v>
      </c>
      <c r="B109" s="98"/>
      <c r="C109" s="98"/>
      <c r="D109" s="17">
        <f>SUM(D108)</f>
        <v>0</v>
      </c>
    </row>
    <row r="112" spans="1:4" x14ac:dyDescent="0.2">
      <c r="A112" s="96" t="s">
        <v>54</v>
      </c>
      <c r="B112" s="96"/>
      <c r="C112" s="96"/>
      <c r="D112" s="96"/>
    </row>
    <row r="113" spans="1:4" x14ac:dyDescent="0.2">
      <c r="A113" s="3"/>
    </row>
    <row r="114" spans="1:4" x14ac:dyDescent="0.2">
      <c r="A114" s="32">
        <v>4</v>
      </c>
      <c r="B114" s="98" t="s">
        <v>55</v>
      </c>
      <c r="C114" s="98"/>
      <c r="D114" s="32" t="s">
        <v>3</v>
      </c>
    </row>
    <row r="115" spans="1:4" x14ac:dyDescent="0.2">
      <c r="A115" s="34" t="s">
        <v>52</v>
      </c>
      <c r="B115" s="100" t="s">
        <v>79</v>
      </c>
      <c r="C115" s="100"/>
      <c r="D115" s="14">
        <f>D102</f>
        <v>80.42</v>
      </c>
    </row>
    <row r="116" spans="1:4" x14ac:dyDescent="0.2">
      <c r="A116" s="34" t="s">
        <v>53</v>
      </c>
      <c r="B116" s="100" t="s">
        <v>87</v>
      </c>
      <c r="C116" s="100"/>
      <c r="D116" s="14">
        <f>D109</f>
        <v>0</v>
      </c>
    </row>
    <row r="117" spans="1:4" x14ac:dyDescent="0.2">
      <c r="A117" s="98" t="s">
        <v>16</v>
      </c>
      <c r="B117" s="98"/>
      <c r="C117" s="98"/>
      <c r="D117" s="17">
        <f>SUM(D115:D116)</f>
        <v>80.42</v>
      </c>
    </row>
    <row r="120" spans="1:4" x14ac:dyDescent="0.2">
      <c r="A120" s="99" t="s">
        <v>56</v>
      </c>
      <c r="B120" s="99"/>
      <c r="C120" s="99"/>
      <c r="D120" s="99"/>
    </row>
    <row r="122" spans="1:4" x14ac:dyDescent="0.2">
      <c r="A122" s="32">
        <v>5</v>
      </c>
      <c r="B122" s="109" t="s">
        <v>57</v>
      </c>
      <c r="C122" s="109"/>
      <c r="D122" s="32" t="s">
        <v>3</v>
      </c>
    </row>
    <row r="123" spans="1:4" x14ac:dyDescent="0.2">
      <c r="A123" s="34" t="s">
        <v>4</v>
      </c>
      <c r="B123" s="100" t="s">
        <v>58</v>
      </c>
      <c r="C123" s="100"/>
      <c r="D123" s="13">
        <v>105.95</v>
      </c>
    </row>
    <row r="124" spans="1:4" x14ac:dyDescent="0.2">
      <c r="A124" s="34" t="s">
        <v>6</v>
      </c>
      <c r="B124" s="100" t="s">
        <v>59</v>
      </c>
      <c r="C124" s="100"/>
      <c r="D124" s="13">
        <v>2.2599999999999998</v>
      </c>
    </row>
    <row r="125" spans="1:4" x14ac:dyDescent="0.2">
      <c r="A125" s="34" t="s">
        <v>8</v>
      </c>
      <c r="B125" s="100" t="s">
        <v>60</v>
      </c>
      <c r="C125" s="100"/>
      <c r="D125" s="13">
        <v>21.12</v>
      </c>
    </row>
    <row r="126" spans="1:4" x14ac:dyDescent="0.2">
      <c r="A126" s="34" t="s">
        <v>10</v>
      </c>
      <c r="B126" s="100" t="s">
        <v>180</v>
      </c>
      <c r="C126" s="100"/>
      <c r="D126" s="13">
        <v>93.59</v>
      </c>
    </row>
    <row r="127" spans="1:4" x14ac:dyDescent="0.2">
      <c r="A127" s="93" t="s">
        <v>12</v>
      </c>
      <c r="B127" s="100" t="s">
        <v>208</v>
      </c>
      <c r="C127" s="100"/>
      <c r="D127" s="13">
        <v>84</v>
      </c>
    </row>
    <row r="128" spans="1:4" x14ac:dyDescent="0.2">
      <c r="A128" s="98" t="s">
        <v>36</v>
      </c>
      <c r="B128" s="98"/>
      <c r="C128" s="98"/>
      <c r="D128" s="18">
        <f>SUM(D123:D127)</f>
        <v>306.92</v>
      </c>
    </row>
    <row r="131" spans="1:4" x14ac:dyDescent="0.2">
      <c r="A131" s="99" t="s">
        <v>61</v>
      </c>
      <c r="B131" s="99"/>
      <c r="C131" s="99"/>
      <c r="D131" s="99"/>
    </row>
    <row r="133" spans="1:4" x14ac:dyDescent="0.2">
      <c r="A133" s="32">
        <v>6</v>
      </c>
      <c r="B133" s="33" t="s">
        <v>62</v>
      </c>
      <c r="C133" s="32" t="s">
        <v>25</v>
      </c>
      <c r="D133" s="32" t="s">
        <v>3</v>
      </c>
    </row>
    <row r="134" spans="1:4" x14ac:dyDescent="0.2">
      <c r="A134" s="34" t="s">
        <v>4</v>
      </c>
      <c r="B134" s="31" t="s">
        <v>63</v>
      </c>
      <c r="C134" s="9">
        <v>0.06</v>
      </c>
      <c r="D134" s="14">
        <f>D154*C134</f>
        <v>273.20333899999997</v>
      </c>
    </row>
    <row r="135" spans="1:4" x14ac:dyDescent="0.2">
      <c r="A135" s="34" t="s">
        <v>6</v>
      </c>
      <c r="B135" s="31" t="s">
        <v>64</v>
      </c>
      <c r="C135" s="9">
        <v>6.7900000000000002E-2</v>
      </c>
      <c r="D135" s="13">
        <f>(D154+D134)*C135</f>
        <v>327.72561868643334</v>
      </c>
    </row>
    <row r="136" spans="1:4" x14ac:dyDescent="0.2">
      <c r="A136" s="34" t="s">
        <v>8</v>
      </c>
      <c r="B136" s="31" t="s">
        <v>65</v>
      </c>
      <c r="C136" s="12">
        <f>SUM(C137:C142)</f>
        <v>8.6499999999999994E-2</v>
      </c>
      <c r="D136" s="13">
        <f>(D154+D134+D135)*C136/(1-C136)</f>
        <v>488.06623086831939</v>
      </c>
    </row>
    <row r="137" spans="1:4" x14ac:dyDescent="0.2">
      <c r="A137" s="34"/>
      <c r="B137" s="31" t="s">
        <v>66</v>
      </c>
      <c r="C137" s="9"/>
      <c r="D137" s="14">
        <f>$D$156*C137</f>
        <v>0</v>
      </c>
    </row>
    <row r="138" spans="1:4" x14ac:dyDescent="0.2">
      <c r="A138" s="34"/>
      <c r="B138" s="31" t="s">
        <v>96</v>
      </c>
      <c r="C138" s="9">
        <v>6.4999999999999997E-3</v>
      </c>
      <c r="D138" s="14">
        <f t="shared" ref="D138:D142" si="3">$D$156*C138</f>
        <v>36.675497117272556</v>
      </c>
    </row>
    <row r="139" spans="1:4" x14ac:dyDescent="0.2">
      <c r="A139" s="34"/>
      <c r="B139" s="31" t="s">
        <v>97</v>
      </c>
      <c r="C139" s="9">
        <v>0.03</v>
      </c>
      <c r="D139" s="14">
        <f t="shared" si="3"/>
        <v>169.27152515664255</v>
      </c>
    </row>
    <row r="140" spans="1:4" x14ac:dyDescent="0.2">
      <c r="A140" s="34"/>
      <c r="B140" s="31" t="s">
        <v>67</v>
      </c>
      <c r="C140" s="34"/>
      <c r="D140" s="14">
        <f t="shared" si="3"/>
        <v>0</v>
      </c>
    </row>
    <row r="141" spans="1:4" x14ac:dyDescent="0.2">
      <c r="A141" s="34"/>
      <c r="B141" s="31" t="s">
        <v>68</v>
      </c>
      <c r="C141" s="9"/>
      <c r="D141" s="14">
        <f t="shared" si="3"/>
        <v>0</v>
      </c>
    </row>
    <row r="142" spans="1:4" x14ac:dyDescent="0.2">
      <c r="A142" s="34"/>
      <c r="B142" s="31" t="s">
        <v>98</v>
      </c>
      <c r="C142" s="9">
        <v>0.05</v>
      </c>
      <c r="D142" s="14">
        <f t="shared" si="3"/>
        <v>282.11920859440431</v>
      </c>
    </row>
    <row r="143" spans="1:4" ht="13.5" x14ac:dyDescent="0.2">
      <c r="A143" s="101" t="s">
        <v>36</v>
      </c>
      <c r="B143" s="110"/>
      <c r="C143" s="19">
        <f>(1+C135)*(1+C134)/(1-C136)-1</f>
        <v>0.2391614668856048</v>
      </c>
      <c r="D143" s="17">
        <f>SUM(D134:D136)</f>
        <v>1088.9951885547525</v>
      </c>
    </row>
    <row r="146" spans="1:4" x14ac:dyDescent="0.2">
      <c r="A146" s="99" t="s">
        <v>69</v>
      </c>
      <c r="B146" s="99"/>
      <c r="C146" s="99"/>
      <c r="D146" s="99"/>
    </row>
    <row r="148" spans="1:4" x14ac:dyDescent="0.2">
      <c r="A148" s="32"/>
      <c r="B148" s="98" t="s">
        <v>70</v>
      </c>
      <c r="C148" s="98"/>
      <c r="D148" s="32" t="s">
        <v>3</v>
      </c>
    </row>
    <row r="149" spans="1:4" x14ac:dyDescent="0.2">
      <c r="A149" s="32" t="s">
        <v>4</v>
      </c>
      <c r="B149" s="100" t="s">
        <v>1</v>
      </c>
      <c r="C149" s="100"/>
      <c r="D149" s="20">
        <f>D26</f>
        <v>1912.586</v>
      </c>
    </row>
    <row r="150" spans="1:4" x14ac:dyDescent="0.2">
      <c r="A150" s="32" t="s">
        <v>6</v>
      </c>
      <c r="B150" s="100" t="s">
        <v>17</v>
      </c>
      <c r="C150" s="100"/>
      <c r="D150" s="20">
        <f>D75</f>
        <v>2135.6729833333334</v>
      </c>
    </row>
    <row r="151" spans="1:4" x14ac:dyDescent="0.2">
      <c r="A151" s="32" t="s">
        <v>8</v>
      </c>
      <c r="B151" s="100" t="s">
        <v>44</v>
      </c>
      <c r="C151" s="100"/>
      <c r="D151" s="20">
        <f>D87</f>
        <v>117.78999999999999</v>
      </c>
    </row>
    <row r="152" spans="1:4" x14ac:dyDescent="0.2">
      <c r="A152" s="32" t="s">
        <v>10</v>
      </c>
      <c r="B152" s="100" t="s">
        <v>51</v>
      </c>
      <c r="C152" s="100"/>
      <c r="D152" s="20">
        <f>D117</f>
        <v>80.42</v>
      </c>
    </row>
    <row r="153" spans="1:4" x14ac:dyDescent="0.2">
      <c r="A153" s="32" t="s">
        <v>12</v>
      </c>
      <c r="B153" s="100" t="s">
        <v>56</v>
      </c>
      <c r="C153" s="100"/>
      <c r="D153" s="20">
        <f>D128</f>
        <v>306.92</v>
      </c>
    </row>
    <row r="154" spans="1:4" x14ac:dyDescent="0.2">
      <c r="A154" s="98" t="s">
        <v>95</v>
      </c>
      <c r="B154" s="98"/>
      <c r="C154" s="98"/>
      <c r="D154" s="21">
        <f>SUM(D149:D153)</f>
        <v>4553.3889833333333</v>
      </c>
    </row>
    <row r="155" spans="1:4" x14ac:dyDescent="0.2">
      <c r="A155" s="32" t="s">
        <v>31</v>
      </c>
      <c r="B155" s="100" t="s">
        <v>71</v>
      </c>
      <c r="C155" s="100"/>
      <c r="D155" s="22">
        <f>D143</f>
        <v>1088.9951885547525</v>
      </c>
    </row>
    <row r="156" spans="1:4" x14ac:dyDescent="0.2">
      <c r="A156" s="98" t="s">
        <v>72</v>
      </c>
      <c r="B156" s="98"/>
      <c r="C156" s="98"/>
      <c r="D156" s="21">
        <f>SUM(D154:D155)</f>
        <v>5642.3841718880858</v>
      </c>
    </row>
  </sheetData>
  <mergeCells count="80">
    <mergeCell ref="A154:C154"/>
    <mergeCell ref="B155:C155"/>
    <mergeCell ref="A156:C156"/>
    <mergeCell ref="B148:C148"/>
    <mergeCell ref="B149:C149"/>
    <mergeCell ref="B150:C150"/>
    <mergeCell ref="B151:C151"/>
    <mergeCell ref="B152:C152"/>
    <mergeCell ref="B153:C153"/>
    <mergeCell ref="A146:D146"/>
    <mergeCell ref="A109:C109"/>
    <mergeCell ref="A112:D112"/>
    <mergeCell ref="B114:C114"/>
    <mergeCell ref="B115:C115"/>
    <mergeCell ref="B116:C116"/>
    <mergeCell ref="A117:C117"/>
    <mergeCell ref="A120:D120"/>
    <mergeCell ref="B122:C122"/>
    <mergeCell ref="A128:C128"/>
    <mergeCell ref="A131:D131"/>
    <mergeCell ref="A143:B143"/>
    <mergeCell ref="B123:C123"/>
    <mergeCell ref="B124:C124"/>
    <mergeCell ref="B125:C125"/>
    <mergeCell ref="B126:C126"/>
    <mergeCell ref="B108:C108"/>
    <mergeCell ref="B74:C74"/>
    <mergeCell ref="A75:C75"/>
    <mergeCell ref="A78:D78"/>
    <mergeCell ref="B80:C80"/>
    <mergeCell ref="A87:C87"/>
    <mergeCell ref="A90:D90"/>
    <mergeCell ref="A93:D93"/>
    <mergeCell ref="B95:C95"/>
    <mergeCell ref="A102:C102"/>
    <mergeCell ref="A105:D105"/>
    <mergeCell ref="B107:C107"/>
    <mergeCell ref="B73:C73"/>
    <mergeCell ref="B59:C59"/>
    <mergeCell ref="B60:C60"/>
    <mergeCell ref="B61:C61"/>
    <mergeCell ref="B62:C62"/>
    <mergeCell ref="A66:C66"/>
    <mergeCell ref="A69:D69"/>
    <mergeCell ref="B71:C71"/>
    <mergeCell ref="B72:C72"/>
    <mergeCell ref="B63:C63"/>
    <mergeCell ref="B64:C64"/>
    <mergeCell ref="B65:C65"/>
    <mergeCell ref="B21:C21"/>
    <mergeCell ref="B22:C22"/>
    <mergeCell ref="B23:C23"/>
    <mergeCell ref="B58:C58"/>
    <mergeCell ref="B25:C25"/>
    <mergeCell ref="A26:C26"/>
    <mergeCell ref="A29:D29"/>
    <mergeCell ref="A31:D31"/>
    <mergeCell ref="B33:C33"/>
    <mergeCell ref="A37:B37"/>
    <mergeCell ref="A40:D40"/>
    <mergeCell ref="A51:B51"/>
    <mergeCell ref="A54:D54"/>
    <mergeCell ref="B56:C56"/>
    <mergeCell ref="B57:C57"/>
    <mergeCell ref="B127:C127"/>
    <mergeCell ref="C10:D10"/>
    <mergeCell ref="A1:D1"/>
    <mergeCell ref="A3:D3"/>
    <mergeCell ref="A5:B5"/>
    <mergeCell ref="A6:B6"/>
    <mergeCell ref="A8:D8"/>
    <mergeCell ref="B24:C24"/>
    <mergeCell ref="C11:D11"/>
    <mergeCell ref="C12:D12"/>
    <mergeCell ref="C13:D13"/>
    <mergeCell ref="C14:D14"/>
    <mergeCell ref="A16:D16"/>
    <mergeCell ref="B18:C18"/>
    <mergeCell ref="B19:C19"/>
    <mergeCell ref="B20:C20"/>
  </mergeCells>
  <pageMargins left="0.511811024" right="0.511811024" top="0.78740157499999996" bottom="0.78740157499999996" header="0.31496062000000002" footer="0.31496062000000002"/>
  <pageSetup paperSize="9" scale="84"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56"/>
  <sheetViews>
    <sheetView zoomScale="115" zoomScaleNormal="115" workbookViewId="0">
      <selection activeCell="F15" sqref="F15:G15"/>
    </sheetView>
  </sheetViews>
  <sheetFormatPr defaultRowHeight="12.75" x14ac:dyDescent="0.2"/>
  <cols>
    <col min="1" max="1" width="9.140625" style="1"/>
    <col min="2" max="2" width="60.28515625" style="1" customWidth="1"/>
    <col min="3" max="3" width="18" style="1" customWidth="1"/>
    <col min="4" max="4" width="21.42578125" style="1" customWidth="1"/>
    <col min="5" max="5" width="15.140625" style="1" customWidth="1"/>
    <col min="6" max="16384" width="9.140625" style="1"/>
  </cols>
  <sheetData>
    <row r="1" spans="1:4" ht="15.75" x14ac:dyDescent="0.25">
      <c r="A1" s="111" t="s">
        <v>0</v>
      </c>
      <c r="B1" s="111"/>
      <c r="C1" s="111"/>
      <c r="D1" s="111"/>
    </row>
    <row r="2" spans="1:4" ht="15.75" x14ac:dyDescent="0.25">
      <c r="A2" s="24"/>
      <c r="B2" s="24"/>
      <c r="C2" s="24"/>
      <c r="D2" s="24"/>
    </row>
    <row r="3" spans="1:4" x14ac:dyDescent="0.2">
      <c r="A3" s="106" t="s">
        <v>89</v>
      </c>
      <c r="B3" s="106"/>
      <c r="C3" s="106"/>
      <c r="D3" s="106"/>
    </row>
    <row r="4" spans="1:4" x14ac:dyDescent="0.2">
      <c r="A4" s="2"/>
      <c r="B4" s="2"/>
      <c r="C4" s="2"/>
      <c r="D4" s="2"/>
    </row>
    <row r="5" spans="1:4" ht="38.25" x14ac:dyDescent="0.2">
      <c r="A5" s="113" t="s">
        <v>90</v>
      </c>
      <c r="B5" s="113"/>
      <c r="C5" s="34" t="s">
        <v>91</v>
      </c>
      <c r="D5" s="25" t="s">
        <v>92</v>
      </c>
    </row>
    <row r="6" spans="1:4" ht="25.5" customHeight="1" x14ac:dyDescent="0.2">
      <c r="A6" s="101" t="s">
        <v>116</v>
      </c>
      <c r="B6" s="102"/>
      <c r="C6" s="35" t="s">
        <v>100</v>
      </c>
      <c r="D6" s="35">
        <v>8</v>
      </c>
    </row>
    <row r="8" spans="1:4" x14ac:dyDescent="0.2">
      <c r="A8" s="106" t="s">
        <v>73</v>
      </c>
      <c r="B8" s="106"/>
      <c r="C8" s="106"/>
      <c r="D8" s="106"/>
    </row>
    <row r="9" spans="1:4" x14ac:dyDescent="0.2">
      <c r="A9" s="2"/>
      <c r="B9" s="2"/>
      <c r="C9" s="2"/>
      <c r="D9" s="2"/>
    </row>
    <row r="10" spans="1:4" x14ac:dyDescent="0.2">
      <c r="A10" s="5">
        <v>1</v>
      </c>
      <c r="B10" s="5" t="s">
        <v>74</v>
      </c>
      <c r="C10" s="103" t="s">
        <v>113</v>
      </c>
      <c r="D10" s="104"/>
    </row>
    <row r="11" spans="1:4" x14ac:dyDescent="0.2">
      <c r="A11" s="5">
        <v>2</v>
      </c>
      <c r="B11" s="5" t="s">
        <v>93</v>
      </c>
      <c r="C11" s="103">
        <v>517330</v>
      </c>
      <c r="D11" s="104"/>
    </row>
    <row r="12" spans="1:4" x14ac:dyDescent="0.2">
      <c r="A12" s="5">
        <v>3</v>
      </c>
      <c r="B12" s="5" t="s">
        <v>75</v>
      </c>
      <c r="C12" s="103">
        <v>1471.22</v>
      </c>
      <c r="D12" s="104"/>
    </row>
    <row r="13" spans="1:4" x14ac:dyDescent="0.2">
      <c r="A13" s="5">
        <v>4</v>
      </c>
      <c r="B13" s="5" t="s">
        <v>76</v>
      </c>
      <c r="C13" s="103" t="s">
        <v>102</v>
      </c>
      <c r="D13" s="104"/>
    </row>
    <row r="14" spans="1:4" x14ac:dyDescent="0.2">
      <c r="A14" s="5">
        <v>5</v>
      </c>
      <c r="B14" s="5" t="s">
        <v>77</v>
      </c>
      <c r="C14" s="105">
        <v>45292</v>
      </c>
      <c r="D14" s="104"/>
    </row>
    <row r="16" spans="1:4" x14ac:dyDescent="0.2">
      <c r="A16" s="106" t="s">
        <v>1</v>
      </c>
      <c r="B16" s="106"/>
      <c r="C16" s="106"/>
      <c r="D16" s="106"/>
    </row>
    <row r="18" spans="1:4" x14ac:dyDescent="0.2">
      <c r="A18" s="32">
        <v>1</v>
      </c>
      <c r="B18" s="98" t="s">
        <v>2</v>
      </c>
      <c r="C18" s="98"/>
      <c r="D18" s="32" t="s">
        <v>3</v>
      </c>
    </row>
    <row r="19" spans="1:4" x14ac:dyDescent="0.2">
      <c r="A19" s="34" t="s">
        <v>4</v>
      </c>
      <c r="B19" s="100" t="s">
        <v>5</v>
      </c>
      <c r="C19" s="100"/>
      <c r="D19" s="13">
        <v>1471.22</v>
      </c>
    </row>
    <row r="20" spans="1:4" x14ac:dyDescent="0.2">
      <c r="A20" s="34" t="s">
        <v>6</v>
      </c>
      <c r="B20" s="100" t="s">
        <v>7</v>
      </c>
      <c r="C20" s="100"/>
      <c r="D20" s="13">
        <f>D19*0.3</f>
        <v>441.36599999999999</v>
      </c>
    </row>
    <row r="21" spans="1:4" x14ac:dyDescent="0.2">
      <c r="A21" s="34" t="s">
        <v>8</v>
      </c>
      <c r="B21" s="100" t="s">
        <v>9</v>
      </c>
      <c r="C21" s="100"/>
      <c r="D21" s="13"/>
    </row>
    <row r="22" spans="1:4" x14ac:dyDescent="0.2">
      <c r="A22" s="34" t="s">
        <v>10</v>
      </c>
      <c r="B22" s="100" t="s">
        <v>11</v>
      </c>
      <c r="C22" s="100"/>
      <c r="D22" s="13"/>
    </row>
    <row r="23" spans="1:4" x14ac:dyDescent="0.2">
      <c r="A23" s="34" t="s">
        <v>12</v>
      </c>
      <c r="B23" s="100" t="s">
        <v>13</v>
      </c>
      <c r="C23" s="100"/>
      <c r="D23" s="13"/>
    </row>
    <row r="24" spans="1:4" x14ac:dyDescent="0.2">
      <c r="A24" s="34" t="s">
        <v>31</v>
      </c>
      <c r="B24" s="100" t="s">
        <v>114</v>
      </c>
      <c r="C24" s="100"/>
      <c r="D24" s="13">
        <v>0</v>
      </c>
    </row>
    <row r="25" spans="1:4" x14ac:dyDescent="0.2">
      <c r="A25" s="34" t="s">
        <v>14</v>
      </c>
      <c r="B25" s="100" t="s">
        <v>15</v>
      </c>
      <c r="C25" s="100"/>
      <c r="D25" s="13"/>
    </row>
    <row r="26" spans="1:4" x14ac:dyDescent="0.2">
      <c r="A26" s="98" t="s">
        <v>16</v>
      </c>
      <c r="B26" s="98"/>
      <c r="C26" s="98"/>
      <c r="D26" s="18">
        <f>SUM(D19:D25)</f>
        <v>1912.586</v>
      </c>
    </row>
    <row r="29" spans="1:4" x14ac:dyDescent="0.2">
      <c r="A29" s="99" t="s">
        <v>17</v>
      </c>
      <c r="B29" s="99"/>
      <c r="C29" s="99"/>
      <c r="D29" s="99"/>
    </row>
    <row r="30" spans="1:4" x14ac:dyDescent="0.2">
      <c r="A30" s="3"/>
    </row>
    <row r="31" spans="1:4" x14ac:dyDescent="0.2">
      <c r="A31" s="96" t="s">
        <v>18</v>
      </c>
      <c r="B31" s="96"/>
      <c r="C31" s="96"/>
      <c r="D31" s="96"/>
    </row>
    <row r="33" spans="1:4" x14ac:dyDescent="0.2">
      <c r="A33" s="32" t="s">
        <v>19</v>
      </c>
      <c r="B33" s="98" t="s">
        <v>20</v>
      </c>
      <c r="C33" s="98"/>
      <c r="D33" s="32" t="s">
        <v>3</v>
      </c>
    </row>
    <row r="34" spans="1:4" x14ac:dyDescent="0.2">
      <c r="A34" s="34" t="s">
        <v>4</v>
      </c>
      <c r="B34" s="31" t="s">
        <v>21</v>
      </c>
      <c r="C34" s="12">
        <f>TRUNC(1/12,4)</f>
        <v>8.3299999999999999E-2</v>
      </c>
      <c r="D34" s="13">
        <f>TRUNC($D$26*C34,2)</f>
        <v>159.31</v>
      </c>
    </row>
    <row r="35" spans="1:4" x14ac:dyDescent="0.2">
      <c r="A35" s="34" t="s">
        <v>6</v>
      </c>
      <c r="B35" s="31" t="s">
        <v>117</v>
      </c>
      <c r="C35" s="12">
        <f>TRUNC(((1)/12),4)</f>
        <v>8.3299999999999999E-2</v>
      </c>
      <c r="D35" s="13">
        <f>TRUNC($D$26*C35,2)</f>
        <v>159.31</v>
      </c>
    </row>
    <row r="36" spans="1:4" x14ac:dyDescent="0.2">
      <c r="A36" s="34" t="s">
        <v>8</v>
      </c>
      <c r="B36" s="31" t="s">
        <v>118</v>
      </c>
      <c r="C36" s="36">
        <f>TRUNC(((51%)/12),4)</f>
        <v>4.2500000000000003E-2</v>
      </c>
      <c r="D36" s="13">
        <f>TRUNC($D$19*C36,2)</f>
        <v>62.52</v>
      </c>
    </row>
    <row r="37" spans="1:4" x14ac:dyDescent="0.2">
      <c r="A37" s="98" t="s">
        <v>16</v>
      </c>
      <c r="B37" s="98"/>
      <c r="C37" s="26">
        <f>SUM(C34:C36)</f>
        <v>0.20910000000000001</v>
      </c>
      <c r="D37" s="17">
        <f>SUM(D34:D36)</f>
        <v>381.14</v>
      </c>
    </row>
    <row r="40" spans="1:4" x14ac:dyDescent="0.2">
      <c r="A40" s="112" t="s">
        <v>22</v>
      </c>
      <c r="B40" s="112"/>
      <c r="C40" s="112"/>
      <c r="D40" s="112"/>
    </row>
    <row r="42" spans="1:4" x14ac:dyDescent="0.2">
      <c r="A42" s="32" t="s">
        <v>23</v>
      </c>
      <c r="B42" s="32" t="s">
        <v>24</v>
      </c>
      <c r="C42" s="32" t="s">
        <v>25</v>
      </c>
      <c r="D42" s="32" t="s">
        <v>3</v>
      </c>
    </row>
    <row r="43" spans="1:4" x14ac:dyDescent="0.2">
      <c r="A43" s="34" t="s">
        <v>4</v>
      </c>
      <c r="B43" s="31" t="s">
        <v>26</v>
      </c>
      <c r="C43" s="9">
        <v>0.2</v>
      </c>
      <c r="D43" s="13">
        <f>TRUNC(($D$26+$D$37)*C43,2)</f>
        <v>458.74</v>
      </c>
    </row>
    <row r="44" spans="1:4" x14ac:dyDescent="0.2">
      <c r="A44" s="34" t="s">
        <v>6</v>
      </c>
      <c r="B44" s="31" t="s">
        <v>27</v>
      </c>
      <c r="C44" s="9">
        <v>2.5000000000000001E-2</v>
      </c>
      <c r="D44" s="13">
        <f t="shared" ref="D44:D50" si="0">TRUNC(($D$26+$D$37)*C44,2)</f>
        <v>57.34</v>
      </c>
    </row>
    <row r="45" spans="1:4" x14ac:dyDescent="0.2">
      <c r="A45" s="34" t="s">
        <v>8</v>
      </c>
      <c r="B45" s="31" t="s">
        <v>28</v>
      </c>
      <c r="C45" s="16">
        <v>0.03</v>
      </c>
      <c r="D45" s="13">
        <f t="shared" si="0"/>
        <v>68.81</v>
      </c>
    </row>
    <row r="46" spans="1:4" x14ac:dyDescent="0.2">
      <c r="A46" s="34" t="s">
        <v>10</v>
      </c>
      <c r="B46" s="31" t="s">
        <v>29</v>
      </c>
      <c r="C46" s="9">
        <v>1.4999999999999999E-2</v>
      </c>
      <c r="D46" s="13">
        <f t="shared" si="0"/>
        <v>34.4</v>
      </c>
    </row>
    <row r="47" spans="1:4" x14ac:dyDescent="0.2">
      <c r="A47" s="34" t="s">
        <v>12</v>
      </c>
      <c r="B47" s="31" t="s">
        <v>30</v>
      </c>
      <c r="C47" s="9">
        <v>0.01</v>
      </c>
      <c r="D47" s="13">
        <f t="shared" si="0"/>
        <v>22.93</v>
      </c>
    </row>
    <row r="48" spans="1:4" x14ac:dyDescent="0.2">
      <c r="A48" s="34" t="s">
        <v>31</v>
      </c>
      <c r="B48" s="31" t="s">
        <v>32</v>
      </c>
      <c r="C48" s="9">
        <v>6.0000000000000001E-3</v>
      </c>
      <c r="D48" s="13">
        <f t="shared" si="0"/>
        <v>13.76</v>
      </c>
    </row>
    <row r="49" spans="1:4" x14ac:dyDescent="0.2">
      <c r="A49" s="34" t="s">
        <v>14</v>
      </c>
      <c r="B49" s="31" t="s">
        <v>33</v>
      </c>
      <c r="C49" s="9">
        <v>2E-3</v>
      </c>
      <c r="D49" s="13">
        <f t="shared" si="0"/>
        <v>4.58</v>
      </c>
    </row>
    <row r="50" spans="1:4" x14ac:dyDescent="0.2">
      <c r="A50" s="34" t="s">
        <v>34</v>
      </c>
      <c r="B50" s="31" t="s">
        <v>35</v>
      </c>
      <c r="C50" s="9">
        <v>0.08</v>
      </c>
      <c r="D50" s="13">
        <f t="shared" si="0"/>
        <v>183.49</v>
      </c>
    </row>
    <row r="51" spans="1:4" x14ac:dyDescent="0.2">
      <c r="A51" s="98" t="s">
        <v>36</v>
      </c>
      <c r="B51" s="98"/>
      <c r="C51" s="15">
        <f>SUM(C43:C50)</f>
        <v>0.36800000000000005</v>
      </c>
      <c r="D51" s="17">
        <f>SUM(D43:D50)</f>
        <v>844.05000000000007</v>
      </c>
    </row>
    <row r="54" spans="1:4" x14ac:dyDescent="0.2">
      <c r="A54" s="96" t="s">
        <v>37</v>
      </c>
      <c r="B54" s="96"/>
      <c r="C54" s="96"/>
      <c r="D54" s="96"/>
    </row>
    <row r="56" spans="1:4" x14ac:dyDescent="0.2">
      <c r="A56" s="32" t="s">
        <v>38</v>
      </c>
      <c r="B56" s="97" t="s">
        <v>39</v>
      </c>
      <c r="C56" s="97"/>
      <c r="D56" s="32" t="s">
        <v>3</v>
      </c>
    </row>
    <row r="57" spans="1:4" x14ac:dyDescent="0.2">
      <c r="A57" s="34" t="s">
        <v>4</v>
      </c>
      <c r="B57" s="100" t="s">
        <v>40</v>
      </c>
      <c r="C57" s="100"/>
      <c r="D57" s="13">
        <f>(15*2*5.2)-(D19*0.06)</f>
        <v>67.726799999999997</v>
      </c>
    </row>
    <row r="58" spans="1:4" x14ac:dyDescent="0.2">
      <c r="A58" s="34" t="s">
        <v>6</v>
      </c>
      <c r="B58" s="100" t="s">
        <v>41</v>
      </c>
      <c r="C58" s="100"/>
      <c r="D58" s="13">
        <f>16.59*15*0.85</f>
        <v>211.52249999999998</v>
      </c>
    </row>
    <row r="59" spans="1:4" x14ac:dyDescent="0.2">
      <c r="A59" s="34" t="s">
        <v>8</v>
      </c>
      <c r="B59" s="100" t="s">
        <v>110</v>
      </c>
      <c r="C59" s="100"/>
      <c r="D59" s="13"/>
    </row>
    <row r="60" spans="1:4" x14ac:dyDescent="0.2">
      <c r="A60" s="34" t="s">
        <v>10</v>
      </c>
      <c r="B60" s="100" t="s">
        <v>104</v>
      </c>
      <c r="C60" s="100"/>
      <c r="D60" s="13">
        <v>8.5</v>
      </c>
    </row>
    <row r="61" spans="1:4" x14ac:dyDescent="0.2">
      <c r="A61" s="34" t="s">
        <v>12</v>
      </c>
      <c r="B61" s="100" t="s">
        <v>105</v>
      </c>
      <c r="C61" s="100"/>
      <c r="D61" s="13">
        <v>3.5</v>
      </c>
    </row>
    <row r="62" spans="1:4" x14ac:dyDescent="0.2">
      <c r="A62" s="34" t="s">
        <v>31</v>
      </c>
      <c r="B62" s="100" t="s">
        <v>111</v>
      </c>
      <c r="C62" s="100"/>
      <c r="D62" s="13">
        <f>180/24</f>
        <v>7.5</v>
      </c>
    </row>
    <row r="63" spans="1:4" x14ac:dyDescent="0.2">
      <c r="A63" s="41" t="s">
        <v>14</v>
      </c>
      <c r="B63" s="100" t="s">
        <v>179</v>
      </c>
      <c r="C63" s="100"/>
      <c r="D63" s="13">
        <f>(13.04*12)/12</f>
        <v>13.04</v>
      </c>
    </row>
    <row r="64" spans="1:4" x14ac:dyDescent="0.2">
      <c r="A64" s="93" t="s">
        <v>34</v>
      </c>
      <c r="B64" s="100" t="s">
        <v>207</v>
      </c>
      <c r="C64" s="100"/>
      <c r="D64" s="13">
        <f>D19*0.22*(21/24)</f>
        <v>283.20985000000002</v>
      </c>
    </row>
    <row r="65" spans="1:4" x14ac:dyDescent="0.2">
      <c r="A65" s="93" t="s">
        <v>206</v>
      </c>
      <c r="B65" s="100" t="s">
        <v>209</v>
      </c>
      <c r="C65" s="100"/>
      <c r="D65" s="13">
        <f>233.73*(2/3)</f>
        <v>155.82</v>
      </c>
    </row>
    <row r="66" spans="1:4" x14ac:dyDescent="0.2">
      <c r="A66" s="98" t="s">
        <v>16</v>
      </c>
      <c r="B66" s="98"/>
      <c r="C66" s="98"/>
      <c r="D66" s="17">
        <f>SUM(D57:D65)</f>
        <v>750.81915000000004</v>
      </c>
    </row>
    <row r="69" spans="1:4" x14ac:dyDescent="0.2">
      <c r="A69" s="96" t="s">
        <v>42</v>
      </c>
      <c r="B69" s="96"/>
      <c r="C69" s="96"/>
      <c r="D69" s="96"/>
    </row>
    <row r="71" spans="1:4" x14ac:dyDescent="0.2">
      <c r="A71" s="32">
        <v>2</v>
      </c>
      <c r="B71" s="97" t="s">
        <v>43</v>
      </c>
      <c r="C71" s="97"/>
      <c r="D71" s="32" t="s">
        <v>3</v>
      </c>
    </row>
    <row r="72" spans="1:4" x14ac:dyDescent="0.2">
      <c r="A72" s="34" t="s">
        <v>19</v>
      </c>
      <c r="B72" s="100" t="s">
        <v>20</v>
      </c>
      <c r="C72" s="100"/>
      <c r="D72" s="14">
        <f>D37</f>
        <v>381.14</v>
      </c>
    </row>
    <row r="73" spans="1:4" x14ac:dyDescent="0.2">
      <c r="A73" s="34" t="s">
        <v>23</v>
      </c>
      <c r="B73" s="100" t="s">
        <v>24</v>
      </c>
      <c r="C73" s="100"/>
      <c r="D73" s="14">
        <f>D51</f>
        <v>844.05000000000007</v>
      </c>
    </row>
    <row r="74" spans="1:4" x14ac:dyDescent="0.2">
      <c r="A74" s="34" t="s">
        <v>38</v>
      </c>
      <c r="B74" s="100" t="s">
        <v>39</v>
      </c>
      <c r="C74" s="100"/>
      <c r="D74" s="14">
        <f>D66</f>
        <v>750.81915000000004</v>
      </c>
    </row>
    <row r="75" spans="1:4" x14ac:dyDescent="0.2">
      <c r="A75" s="98" t="s">
        <v>16</v>
      </c>
      <c r="B75" s="98"/>
      <c r="C75" s="98"/>
      <c r="D75" s="17">
        <f>SUM(D72:D74)</f>
        <v>1976.0091500000001</v>
      </c>
    </row>
    <row r="76" spans="1:4" x14ac:dyDescent="0.2">
      <c r="A76" s="4"/>
    </row>
    <row r="78" spans="1:4" x14ac:dyDescent="0.2">
      <c r="A78" s="99" t="s">
        <v>44</v>
      </c>
      <c r="B78" s="99"/>
      <c r="C78" s="99"/>
      <c r="D78" s="99"/>
    </row>
    <row r="79" spans="1:4" ht="12.75" customHeight="1" x14ac:dyDescent="0.2"/>
    <row r="80" spans="1:4" x14ac:dyDescent="0.2">
      <c r="A80" s="32">
        <v>3</v>
      </c>
      <c r="B80" s="97" t="s">
        <v>45</v>
      </c>
      <c r="C80" s="97"/>
      <c r="D80" s="32" t="s">
        <v>3</v>
      </c>
    </row>
    <row r="81" spans="1:4" x14ac:dyDescent="0.2">
      <c r="A81" s="34" t="s">
        <v>4</v>
      </c>
      <c r="B81" s="10" t="s">
        <v>46</v>
      </c>
      <c r="C81" s="9">
        <f>TRUNC(((1/12)*5%),4)</f>
        <v>4.1000000000000003E-3</v>
      </c>
      <c r="D81" s="13">
        <f>TRUNC($D$26*C81,2)</f>
        <v>7.84</v>
      </c>
    </row>
    <row r="82" spans="1:4" x14ac:dyDescent="0.2">
      <c r="A82" s="34" t="s">
        <v>6</v>
      </c>
      <c r="B82" s="10" t="s">
        <v>47</v>
      </c>
      <c r="C82" s="9">
        <v>0.08</v>
      </c>
      <c r="D82" s="13">
        <f>TRUNC(D81*C82,2)</f>
        <v>0.62</v>
      </c>
    </row>
    <row r="83" spans="1:4" x14ac:dyDescent="0.2">
      <c r="A83" s="34" t="s">
        <v>8</v>
      </c>
      <c r="B83" s="10" t="s">
        <v>48</v>
      </c>
      <c r="C83" s="9">
        <f>TRUNC(8%*5%*40%,4)</f>
        <v>1.6000000000000001E-3</v>
      </c>
      <c r="D83" s="13">
        <f>TRUNC($D$26*C83,2)</f>
        <v>3.06</v>
      </c>
    </row>
    <row r="84" spans="1:4" x14ac:dyDescent="0.2">
      <c r="A84" s="34" t="s">
        <v>10</v>
      </c>
      <c r="B84" s="10" t="s">
        <v>49</v>
      </c>
      <c r="C84" s="9">
        <f>TRUNC(((7/30)/12)*95%,4)</f>
        <v>1.84E-2</v>
      </c>
      <c r="D84" s="13">
        <f>TRUNC($D$26*C84,2)</f>
        <v>35.19</v>
      </c>
    </row>
    <row r="85" spans="1:4" ht="25.5" x14ac:dyDescent="0.2">
      <c r="A85" s="34" t="s">
        <v>12</v>
      </c>
      <c r="B85" s="10" t="s">
        <v>94</v>
      </c>
      <c r="C85" s="9">
        <f>C51</f>
        <v>0.36800000000000005</v>
      </c>
      <c r="D85" s="13">
        <f>TRUNC(D84*C85,2)</f>
        <v>12.94</v>
      </c>
    </row>
    <row r="86" spans="1:4" x14ac:dyDescent="0.2">
      <c r="A86" s="34" t="s">
        <v>31</v>
      </c>
      <c r="B86" s="10" t="s">
        <v>50</v>
      </c>
      <c r="C86" s="9">
        <f>TRUNC(8%*95%*40%,4)</f>
        <v>3.04E-2</v>
      </c>
      <c r="D86" s="13">
        <f t="shared" ref="D86" si="1">TRUNC($D$26*C86,2)</f>
        <v>58.14</v>
      </c>
    </row>
    <row r="87" spans="1:4" x14ac:dyDescent="0.2">
      <c r="A87" s="101" t="s">
        <v>16</v>
      </c>
      <c r="B87" s="110"/>
      <c r="C87" s="102"/>
      <c r="D87" s="17">
        <f>SUM(D81:D86)</f>
        <v>117.78999999999999</v>
      </c>
    </row>
    <row r="90" spans="1:4" x14ac:dyDescent="0.2">
      <c r="A90" s="99" t="s">
        <v>51</v>
      </c>
      <c r="B90" s="99"/>
      <c r="C90" s="99"/>
      <c r="D90" s="99"/>
    </row>
    <row r="93" spans="1:4" x14ac:dyDescent="0.2">
      <c r="A93" s="96" t="s">
        <v>78</v>
      </c>
      <c r="B93" s="96"/>
      <c r="C93" s="96"/>
      <c r="D93" s="96"/>
    </row>
    <row r="94" spans="1:4" x14ac:dyDescent="0.2">
      <c r="A94" s="3"/>
    </row>
    <row r="95" spans="1:4" x14ac:dyDescent="0.2">
      <c r="A95" s="32" t="s">
        <v>52</v>
      </c>
      <c r="B95" s="97" t="s">
        <v>79</v>
      </c>
      <c r="C95" s="97"/>
      <c r="D95" s="32" t="s">
        <v>3</v>
      </c>
    </row>
    <row r="96" spans="1:4" x14ac:dyDescent="0.2">
      <c r="A96" s="34" t="s">
        <v>4</v>
      </c>
      <c r="B96" s="31" t="s">
        <v>80</v>
      </c>
      <c r="C96" s="9">
        <f>TRUNC(((1+1/3)/12)/12,4)</f>
        <v>9.1999999999999998E-3</v>
      </c>
      <c r="D96" s="13">
        <f t="shared" ref="D96:D101" si="2">TRUNC(($D$26+$D$75+$D$87)*C96,2)</f>
        <v>36.85</v>
      </c>
    </row>
    <row r="97" spans="1:4" x14ac:dyDescent="0.2">
      <c r="A97" s="34" t="s">
        <v>6</v>
      </c>
      <c r="B97" s="31" t="s">
        <v>81</v>
      </c>
      <c r="C97" s="9">
        <f>TRUNC(((2/30)/12),4)</f>
        <v>5.4999999999999997E-3</v>
      </c>
      <c r="D97" s="13">
        <f t="shared" si="2"/>
        <v>22.03</v>
      </c>
    </row>
    <row r="98" spans="1:4" x14ac:dyDescent="0.2">
      <c r="A98" s="34" t="s">
        <v>8</v>
      </c>
      <c r="B98" s="31" t="s">
        <v>82</v>
      </c>
      <c r="C98" s="9">
        <f>TRUNC(((5/30)/12)*2%,4)</f>
        <v>2.0000000000000001E-4</v>
      </c>
      <c r="D98" s="13">
        <f t="shared" si="2"/>
        <v>0.8</v>
      </c>
    </row>
    <row r="99" spans="1:4" x14ac:dyDescent="0.2">
      <c r="A99" s="34" t="s">
        <v>10</v>
      </c>
      <c r="B99" s="31" t="s">
        <v>83</v>
      </c>
      <c r="C99" s="9">
        <f>TRUNC(((15/30)/12)*8%,4)</f>
        <v>3.3E-3</v>
      </c>
      <c r="D99" s="13">
        <f t="shared" si="2"/>
        <v>13.22</v>
      </c>
    </row>
    <row r="100" spans="1:4" x14ac:dyDescent="0.2">
      <c r="A100" s="34" t="s">
        <v>12</v>
      </c>
      <c r="B100" s="31" t="s">
        <v>84</v>
      </c>
      <c r="C100" s="9">
        <f>((1+1/3)/12)*3%*(4/12)</f>
        <v>1.1111111111111109E-3</v>
      </c>
      <c r="D100" s="13">
        <f t="shared" si="2"/>
        <v>4.45</v>
      </c>
    </row>
    <row r="101" spans="1:4" x14ac:dyDescent="0.2">
      <c r="A101" s="34" t="s">
        <v>31</v>
      </c>
      <c r="B101" s="31" t="s">
        <v>85</v>
      </c>
      <c r="C101" s="9"/>
      <c r="D101" s="13">
        <f t="shared" si="2"/>
        <v>0</v>
      </c>
    </row>
    <row r="102" spans="1:4" x14ac:dyDescent="0.2">
      <c r="A102" s="98" t="s">
        <v>36</v>
      </c>
      <c r="B102" s="98"/>
      <c r="C102" s="98"/>
      <c r="D102" s="17">
        <f>SUM(D96:D101)</f>
        <v>77.350000000000009</v>
      </c>
    </row>
    <row r="105" spans="1:4" x14ac:dyDescent="0.2">
      <c r="A105" s="96" t="s">
        <v>86</v>
      </c>
      <c r="B105" s="96"/>
      <c r="C105" s="96"/>
      <c r="D105" s="96"/>
    </row>
    <row r="106" spans="1:4" x14ac:dyDescent="0.2">
      <c r="A106" s="3"/>
    </row>
    <row r="107" spans="1:4" x14ac:dyDescent="0.2">
      <c r="A107" s="32" t="s">
        <v>53</v>
      </c>
      <c r="B107" s="97" t="s">
        <v>87</v>
      </c>
      <c r="C107" s="97"/>
      <c r="D107" s="32" t="s">
        <v>3</v>
      </c>
    </row>
    <row r="108" spans="1:4" x14ac:dyDescent="0.2">
      <c r="A108" s="34" t="s">
        <v>4</v>
      </c>
      <c r="B108" s="107" t="s">
        <v>88</v>
      </c>
      <c r="C108" s="108"/>
      <c r="D108" s="13">
        <f>((D26+D75+D87)/220)*22*0</f>
        <v>0</v>
      </c>
    </row>
    <row r="109" spans="1:4" x14ac:dyDescent="0.2">
      <c r="A109" s="98" t="s">
        <v>16</v>
      </c>
      <c r="B109" s="98"/>
      <c r="C109" s="98"/>
      <c r="D109" s="17">
        <f>SUM(D108)</f>
        <v>0</v>
      </c>
    </row>
    <row r="112" spans="1:4" x14ac:dyDescent="0.2">
      <c r="A112" s="96" t="s">
        <v>54</v>
      </c>
      <c r="B112" s="96"/>
      <c r="C112" s="96"/>
      <c r="D112" s="96"/>
    </row>
    <row r="113" spans="1:4" x14ac:dyDescent="0.2">
      <c r="A113" s="3"/>
    </row>
    <row r="114" spans="1:4" x14ac:dyDescent="0.2">
      <c r="A114" s="32">
        <v>4</v>
      </c>
      <c r="B114" s="98" t="s">
        <v>55</v>
      </c>
      <c r="C114" s="98"/>
      <c r="D114" s="32" t="s">
        <v>3</v>
      </c>
    </row>
    <row r="115" spans="1:4" x14ac:dyDescent="0.2">
      <c r="A115" s="34" t="s">
        <v>52</v>
      </c>
      <c r="B115" s="100" t="s">
        <v>79</v>
      </c>
      <c r="C115" s="100"/>
      <c r="D115" s="14">
        <f>D102</f>
        <v>77.350000000000009</v>
      </c>
    </row>
    <row r="116" spans="1:4" x14ac:dyDescent="0.2">
      <c r="A116" s="34" t="s">
        <v>53</v>
      </c>
      <c r="B116" s="100" t="s">
        <v>87</v>
      </c>
      <c r="C116" s="100"/>
      <c r="D116" s="14">
        <f>D109</f>
        <v>0</v>
      </c>
    </row>
    <row r="117" spans="1:4" x14ac:dyDescent="0.2">
      <c r="A117" s="98" t="s">
        <v>16</v>
      </c>
      <c r="B117" s="98"/>
      <c r="C117" s="98"/>
      <c r="D117" s="17">
        <f>SUM(D115:D116)</f>
        <v>77.350000000000009</v>
      </c>
    </row>
    <row r="120" spans="1:4" x14ac:dyDescent="0.2">
      <c r="A120" s="99" t="s">
        <v>56</v>
      </c>
      <c r="B120" s="99"/>
      <c r="C120" s="99"/>
      <c r="D120" s="99"/>
    </row>
    <row r="122" spans="1:4" x14ac:dyDescent="0.2">
      <c r="A122" s="32">
        <v>5</v>
      </c>
      <c r="B122" s="109" t="s">
        <v>57</v>
      </c>
      <c r="C122" s="109"/>
      <c r="D122" s="32" t="s">
        <v>3</v>
      </c>
    </row>
    <row r="123" spans="1:4" x14ac:dyDescent="0.2">
      <c r="A123" s="34" t="s">
        <v>4</v>
      </c>
      <c r="B123" s="100" t="s">
        <v>58</v>
      </c>
      <c r="C123" s="100"/>
      <c r="D123" s="13">
        <v>151.96</v>
      </c>
    </row>
    <row r="124" spans="1:4" x14ac:dyDescent="0.2">
      <c r="A124" s="34" t="s">
        <v>6</v>
      </c>
      <c r="B124" s="100" t="s">
        <v>59</v>
      </c>
      <c r="C124" s="100"/>
      <c r="D124" s="13">
        <v>2.2599999999999998</v>
      </c>
    </row>
    <row r="125" spans="1:4" x14ac:dyDescent="0.2">
      <c r="A125" s="34" t="s">
        <v>8</v>
      </c>
      <c r="B125" s="100" t="s">
        <v>60</v>
      </c>
      <c r="C125" s="100"/>
      <c r="D125" s="13">
        <v>21.12</v>
      </c>
    </row>
    <row r="126" spans="1:4" x14ac:dyDescent="0.2">
      <c r="A126" s="34" t="s">
        <v>10</v>
      </c>
      <c r="B126" s="100" t="s">
        <v>180</v>
      </c>
      <c r="C126" s="100"/>
      <c r="D126" s="13">
        <v>93.59</v>
      </c>
    </row>
    <row r="127" spans="1:4" x14ac:dyDescent="0.2">
      <c r="A127" s="93" t="s">
        <v>12</v>
      </c>
      <c r="B127" s="100" t="s">
        <v>208</v>
      </c>
      <c r="C127" s="100"/>
      <c r="D127" s="13">
        <v>84</v>
      </c>
    </row>
    <row r="128" spans="1:4" x14ac:dyDescent="0.2">
      <c r="A128" s="98" t="s">
        <v>36</v>
      </c>
      <c r="B128" s="98"/>
      <c r="C128" s="98"/>
      <c r="D128" s="18">
        <f>SUM(D123:D127)</f>
        <v>352.93</v>
      </c>
    </row>
    <row r="131" spans="1:4" x14ac:dyDescent="0.2">
      <c r="A131" s="99" t="s">
        <v>61</v>
      </c>
      <c r="B131" s="99"/>
      <c r="C131" s="99"/>
      <c r="D131" s="99"/>
    </row>
    <row r="133" spans="1:4" x14ac:dyDescent="0.2">
      <c r="A133" s="32">
        <v>6</v>
      </c>
      <c r="B133" s="33" t="s">
        <v>62</v>
      </c>
      <c r="C133" s="32" t="s">
        <v>25</v>
      </c>
      <c r="D133" s="32" t="s">
        <v>3</v>
      </c>
    </row>
    <row r="134" spans="1:4" x14ac:dyDescent="0.2">
      <c r="A134" s="34" t="s">
        <v>4</v>
      </c>
      <c r="B134" s="31" t="s">
        <v>63</v>
      </c>
      <c r="C134" s="9">
        <v>0.06</v>
      </c>
      <c r="D134" s="14">
        <f>D154*C134</f>
        <v>266.19990899999999</v>
      </c>
    </row>
    <row r="135" spans="1:4" x14ac:dyDescent="0.2">
      <c r="A135" s="34" t="s">
        <v>6</v>
      </c>
      <c r="B135" s="31" t="s">
        <v>64</v>
      </c>
      <c r="C135" s="9">
        <v>6.7900000000000002E-2</v>
      </c>
      <c r="D135" s="13">
        <f>(D154+D134)*C135</f>
        <v>319.3245375061</v>
      </c>
    </row>
    <row r="136" spans="1:4" x14ac:dyDescent="0.2">
      <c r="A136" s="34" t="s">
        <v>8</v>
      </c>
      <c r="B136" s="31" t="s">
        <v>65</v>
      </c>
      <c r="C136" s="12">
        <f>SUM(C137:C142)</f>
        <v>8.6499999999999994E-2</v>
      </c>
      <c r="D136" s="13">
        <f>(D154+D134+D135)*C136/(1-C136)</f>
        <v>475.55489884814182</v>
      </c>
    </row>
    <row r="137" spans="1:4" x14ac:dyDescent="0.2">
      <c r="A137" s="34"/>
      <c r="B137" s="31" t="s">
        <v>66</v>
      </c>
      <c r="C137" s="9"/>
      <c r="D137" s="14">
        <f>$D$156*C137</f>
        <v>0</v>
      </c>
    </row>
    <row r="138" spans="1:4" x14ac:dyDescent="0.2">
      <c r="A138" s="34"/>
      <c r="B138" s="31" t="s">
        <v>96</v>
      </c>
      <c r="C138" s="9">
        <v>6.4999999999999997E-3</v>
      </c>
      <c r="D138" s="14">
        <f t="shared" ref="D138:D142" si="3">$D$156*C138</f>
        <v>35.735339219802569</v>
      </c>
    </row>
    <row r="139" spans="1:4" x14ac:dyDescent="0.2">
      <c r="A139" s="34"/>
      <c r="B139" s="31" t="s">
        <v>97</v>
      </c>
      <c r="C139" s="9">
        <v>0.03</v>
      </c>
      <c r="D139" s="14">
        <f t="shared" si="3"/>
        <v>164.93233486062724</v>
      </c>
    </row>
    <row r="140" spans="1:4" x14ac:dyDescent="0.2">
      <c r="A140" s="34"/>
      <c r="B140" s="31" t="s">
        <v>67</v>
      </c>
      <c r="C140" s="34"/>
      <c r="D140" s="14">
        <f t="shared" si="3"/>
        <v>0</v>
      </c>
    </row>
    <row r="141" spans="1:4" x14ac:dyDescent="0.2">
      <c r="A141" s="34"/>
      <c r="B141" s="31" t="s">
        <v>68</v>
      </c>
      <c r="C141" s="9"/>
      <c r="D141" s="14">
        <f t="shared" si="3"/>
        <v>0</v>
      </c>
    </row>
    <row r="142" spans="1:4" x14ac:dyDescent="0.2">
      <c r="A142" s="34"/>
      <c r="B142" s="31" t="s">
        <v>98</v>
      </c>
      <c r="C142" s="9">
        <v>0.05</v>
      </c>
      <c r="D142" s="14">
        <f t="shared" si="3"/>
        <v>274.8872247677121</v>
      </c>
    </row>
    <row r="143" spans="1:4" ht="13.5" x14ac:dyDescent="0.2">
      <c r="A143" s="101" t="s">
        <v>36</v>
      </c>
      <c r="B143" s="110"/>
      <c r="C143" s="19">
        <f>(1+C135)*(1+C134)/(1-C136)-1</f>
        <v>0.2391614668856048</v>
      </c>
      <c r="D143" s="17">
        <f>SUM(D134:D136)</f>
        <v>1061.0793453542419</v>
      </c>
    </row>
    <row r="146" spans="1:4" x14ac:dyDescent="0.2">
      <c r="A146" s="99" t="s">
        <v>69</v>
      </c>
      <c r="B146" s="99"/>
      <c r="C146" s="99"/>
      <c r="D146" s="99"/>
    </row>
    <row r="148" spans="1:4" x14ac:dyDescent="0.2">
      <c r="A148" s="32"/>
      <c r="B148" s="98" t="s">
        <v>70</v>
      </c>
      <c r="C148" s="98"/>
      <c r="D148" s="32" t="s">
        <v>3</v>
      </c>
    </row>
    <row r="149" spans="1:4" x14ac:dyDescent="0.2">
      <c r="A149" s="32" t="s">
        <v>4</v>
      </c>
      <c r="B149" s="100" t="s">
        <v>1</v>
      </c>
      <c r="C149" s="100"/>
      <c r="D149" s="20">
        <f>D26</f>
        <v>1912.586</v>
      </c>
    </row>
    <row r="150" spans="1:4" x14ac:dyDescent="0.2">
      <c r="A150" s="32" t="s">
        <v>6</v>
      </c>
      <c r="B150" s="100" t="s">
        <v>17</v>
      </c>
      <c r="C150" s="100"/>
      <c r="D150" s="20">
        <f>D75</f>
        <v>1976.0091500000001</v>
      </c>
    </row>
    <row r="151" spans="1:4" x14ac:dyDescent="0.2">
      <c r="A151" s="32" t="s">
        <v>8</v>
      </c>
      <c r="B151" s="100" t="s">
        <v>44</v>
      </c>
      <c r="C151" s="100"/>
      <c r="D151" s="20">
        <f>D87</f>
        <v>117.78999999999999</v>
      </c>
    </row>
    <row r="152" spans="1:4" x14ac:dyDescent="0.2">
      <c r="A152" s="32" t="s">
        <v>10</v>
      </c>
      <c r="B152" s="100" t="s">
        <v>51</v>
      </c>
      <c r="C152" s="100"/>
      <c r="D152" s="20">
        <f>D117</f>
        <v>77.350000000000009</v>
      </c>
    </row>
    <row r="153" spans="1:4" x14ac:dyDescent="0.2">
      <c r="A153" s="32" t="s">
        <v>12</v>
      </c>
      <c r="B153" s="100" t="s">
        <v>56</v>
      </c>
      <c r="C153" s="100"/>
      <c r="D153" s="20">
        <f>D128</f>
        <v>352.93</v>
      </c>
    </row>
    <row r="154" spans="1:4" x14ac:dyDescent="0.2">
      <c r="A154" s="98" t="s">
        <v>95</v>
      </c>
      <c r="B154" s="98"/>
      <c r="C154" s="98"/>
      <c r="D154" s="21">
        <f>SUM(D149:D153)</f>
        <v>4436.6651499999998</v>
      </c>
    </row>
    <row r="155" spans="1:4" x14ac:dyDescent="0.2">
      <c r="A155" s="32" t="s">
        <v>31</v>
      </c>
      <c r="B155" s="100" t="s">
        <v>71</v>
      </c>
      <c r="C155" s="100"/>
      <c r="D155" s="22">
        <f>D143</f>
        <v>1061.0793453542419</v>
      </c>
    </row>
    <row r="156" spans="1:4" x14ac:dyDescent="0.2">
      <c r="A156" s="98" t="s">
        <v>72</v>
      </c>
      <c r="B156" s="98"/>
      <c r="C156" s="98"/>
      <c r="D156" s="21">
        <f>SUM(D154:D155)</f>
        <v>5497.7444953542417</v>
      </c>
    </row>
  </sheetData>
  <mergeCells count="80">
    <mergeCell ref="A154:C154"/>
    <mergeCell ref="B155:C155"/>
    <mergeCell ref="A156:C156"/>
    <mergeCell ref="B148:C148"/>
    <mergeCell ref="B149:C149"/>
    <mergeCell ref="B150:C150"/>
    <mergeCell ref="B151:C151"/>
    <mergeCell ref="B152:C152"/>
    <mergeCell ref="B153:C153"/>
    <mergeCell ref="A146:D146"/>
    <mergeCell ref="A109:C109"/>
    <mergeCell ref="A112:D112"/>
    <mergeCell ref="B114:C114"/>
    <mergeCell ref="B115:C115"/>
    <mergeCell ref="B116:C116"/>
    <mergeCell ref="A117:C117"/>
    <mergeCell ref="A120:D120"/>
    <mergeCell ref="B122:C122"/>
    <mergeCell ref="A128:C128"/>
    <mergeCell ref="A131:D131"/>
    <mergeCell ref="A143:B143"/>
    <mergeCell ref="B123:C123"/>
    <mergeCell ref="B124:C124"/>
    <mergeCell ref="B125:C125"/>
    <mergeCell ref="B126:C126"/>
    <mergeCell ref="B108:C108"/>
    <mergeCell ref="B74:C74"/>
    <mergeCell ref="A75:C75"/>
    <mergeCell ref="A78:D78"/>
    <mergeCell ref="B80:C80"/>
    <mergeCell ref="A87:C87"/>
    <mergeCell ref="A90:D90"/>
    <mergeCell ref="A93:D93"/>
    <mergeCell ref="B95:C95"/>
    <mergeCell ref="A102:C102"/>
    <mergeCell ref="A105:D105"/>
    <mergeCell ref="B107:C107"/>
    <mergeCell ref="B73:C73"/>
    <mergeCell ref="B59:C59"/>
    <mergeCell ref="B60:C60"/>
    <mergeCell ref="B61:C61"/>
    <mergeCell ref="B62:C62"/>
    <mergeCell ref="A66:C66"/>
    <mergeCell ref="A69:D69"/>
    <mergeCell ref="B71:C71"/>
    <mergeCell ref="B72:C72"/>
    <mergeCell ref="B63:C63"/>
    <mergeCell ref="B64:C64"/>
    <mergeCell ref="B65:C65"/>
    <mergeCell ref="B21:C21"/>
    <mergeCell ref="B22:C22"/>
    <mergeCell ref="B23:C23"/>
    <mergeCell ref="B58:C58"/>
    <mergeCell ref="B25:C25"/>
    <mergeCell ref="A26:C26"/>
    <mergeCell ref="A29:D29"/>
    <mergeCell ref="A31:D31"/>
    <mergeCell ref="B33:C33"/>
    <mergeCell ref="A37:B37"/>
    <mergeCell ref="A40:D40"/>
    <mergeCell ref="A51:B51"/>
    <mergeCell ref="A54:D54"/>
    <mergeCell ref="B56:C56"/>
    <mergeCell ref="B57:C57"/>
    <mergeCell ref="B127:C127"/>
    <mergeCell ref="C10:D10"/>
    <mergeCell ref="A1:D1"/>
    <mergeCell ref="A3:D3"/>
    <mergeCell ref="A5:B5"/>
    <mergeCell ref="A6:B6"/>
    <mergeCell ref="A8:D8"/>
    <mergeCell ref="B24:C24"/>
    <mergeCell ref="C11:D11"/>
    <mergeCell ref="C12:D12"/>
    <mergeCell ref="C13:D13"/>
    <mergeCell ref="C14:D14"/>
    <mergeCell ref="A16:D16"/>
    <mergeCell ref="B18:C18"/>
    <mergeCell ref="B19:C19"/>
    <mergeCell ref="B20:C20"/>
  </mergeCells>
  <pageMargins left="0.511811024" right="0.511811024" top="0.78740157499999996" bottom="0.78740157499999996" header="0.31496062000000002" footer="0.31496062000000002"/>
  <pageSetup paperSize="9" scale="8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56"/>
  <sheetViews>
    <sheetView zoomScale="115" zoomScaleNormal="115" workbookViewId="0">
      <selection activeCell="F15" sqref="F15:G15"/>
    </sheetView>
  </sheetViews>
  <sheetFormatPr defaultRowHeight="12.75" x14ac:dyDescent="0.2"/>
  <cols>
    <col min="1" max="1" width="9.140625" style="1"/>
    <col min="2" max="2" width="60.28515625" style="1" customWidth="1"/>
    <col min="3" max="3" width="18" style="1" customWidth="1"/>
    <col min="4" max="4" width="21.42578125" style="1" customWidth="1"/>
    <col min="5" max="5" width="15.140625" style="1" customWidth="1"/>
    <col min="6" max="16384" width="9.140625" style="1"/>
  </cols>
  <sheetData>
    <row r="1" spans="1:4" ht="15.75" x14ac:dyDescent="0.25">
      <c r="A1" s="111" t="s">
        <v>0</v>
      </c>
      <c r="B1" s="111"/>
      <c r="C1" s="111"/>
      <c r="D1" s="111"/>
    </row>
    <row r="2" spans="1:4" ht="15.75" x14ac:dyDescent="0.25">
      <c r="A2" s="24"/>
      <c r="B2" s="24"/>
      <c r="C2" s="24"/>
      <c r="D2" s="24"/>
    </row>
    <row r="3" spans="1:4" x14ac:dyDescent="0.2">
      <c r="A3" s="106" t="s">
        <v>89</v>
      </c>
      <c r="B3" s="106"/>
      <c r="C3" s="106"/>
      <c r="D3" s="106"/>
    </row>
    <row r="4" spans="1:4" x14ac:dyDescent="0.2">
      <c r="A4" s="2"/>
      <c r="B4" s="2"/>
      <c r="C4" s="2"/>
      <c r="D4" s="2"/>
    </row>
    <row r="5" spans="1:4" ht="38.25" x14ac:dyDescent="0.2">
      <c r="A5" s="113" t="s">
        <v>90</v>
      </c>
      <c r="B5" s="113"/>
      <c r="C5" s="34" t="s">
        <v>91</v>
      </c>
      <c r="D5" s="25" t="s">
        <v>92</v>
      </c>
    </row>
    <row r="6" spans="1:4" ht="25.5" customHeight="1" x14ac:dyDescent="0.2">
      <c r="A6" s="101" t="s">
        <v>119</v>
      </c>
      <c r="B6" s="102"/>
      <c r="C6" s="35" t="s">
        <v>100</v>
      </c>
      <c r="D6" s="35">
        <v>6</v>
      </c>
    </row>
    <row r="8" spans="1:4" x14ac:dyDescent="0.2">
      <c r="A8" s="106" t="s">
        <v>73</v>
      </c>
      <c r="B8" s="106"/>
      <c r="C8" s="106"/>
      <c r="D8" s="106"/>
    </row>
    <row r="9" spans="1:4" x14ac:dyDescent="0.2">
      <c r="A9" s="2"/>
      <c r="B9" s="2"/>
      <c r="C9" s="2"/>
      <c r="D9" s="2"/>
    </row>
    <row r="10" spans="1:4" x14ac:dyDescent="0.2">
      <c r="A10" s="5">
        <v>1</v>
      </c>
      <c r="B10" s="5" t="s">
        <v>74</v>
      </c>
      <c r="C10" s="103" t="s">
        <v>113</v>
      </c>
      <c r="D10" s="104"/>
    </row>
    <row r="11" spans="1:4" x14ac:dyDescent="0.2">
      <c r="A11" s="5">
        <v>2</v>
      </c>
      <c r="B11" s="5" t="s">
        <v>93</v>
      </c>
      <c r="C11" s="103">
        <v>517330</v>
      </c>
      <c r="D11" s="104"/>
    </row>
    <row r="12" spans="1:4" x14ac:dyDescent="0.2">
      <c r="A12" s="5">
        <v>3</v>
      </c>
      <c r="B12" s="5" t="s">
        <v>75</v>
      </c>
      <c r="C12" s="103">
        <v>1471.22</v>
      </c>
      <c r="D12" s="104"/>
    </row>
    <row r="13" spans="1:4" x14ac:dyDescent="0.2">
      <c r="A13" s="5">
        <v>4</v>
      </c>
      <c r="B13" s="5" t="s">
        <v>76</v>
      </c>
      <c r="C13" s="103" t="s">
        <v>102</v>
      </c>
      <c r="D13" s="104"/>
    </row>
    <row r="14" spans="1:4" x14ac:dyDescent="0.2">
      <c r="A14" s="5">
        <v>5</v>
      </c>
      <c r="B14" s="5" t="s">
        <v>77</v>
      </c>
      <c r="C14" s="105">
        <v>45292</v>
      </c>
      <c r="D14" s="104"/>
    </row>
    <row r="16" spans="1:4" x14ac:dyDescent="0.2">
      <c r="A16" s="106" t="s">
        <v>1</v>
      </c>
      <c r="B16" s="106"/>
      <c r="C16" s="106"/>
      <c r="D16" s="106"/>
    </row>
    <row r="18" spans="1:4" x14ac:dyDescent="0.2">
      <c r="A18" s="32">
        <v>1</v>
      </c>
      <c r="B18" s="98" t="s">
        <v>2</v>
      </c>
      <c r="C18" s="98"/>
      <c r="D18" s="32" t="s">
        <v>3</v>
      </c>
    </row>
    <row r="19" spans="1:4" x14ac:dyDescent="0.2">
      <c r="A19" s="34" t="s">
        <v>4</v>
      </c>
      <c r="B19" s="100" t="s">
        <v>5</v>
      </c>
      <c r="C19" s="100"/>
      <c r="D19" s="13">
        <v>1471.22</v>
      </c>
    </row>
    <row r="20" spans="1:4" x14ac:dyDescent="0.2">
      <c r="A20" s="34" t="s">
        <v>6</v>
      </c>
      <c r="B20" s="100" t="s">
        <v>7</v>
      </c>
      <c r="C20" s="100"/>
      <c r="D20" s="13">
        <f>D19*0.3</f>
        <v>441.36599999999999</v>
      </c>
    </row>
    <row r="21" spans="1:4" x14ac:dyDescent="0.2">
      <c r="A21" s="34" t="s">
        <v>8</v>
      </c>
      <c r="B21" s="100" t="s">
        <v>9</v>
      </c>
      <c r="C21" s="100"/>
      <c r="D21" s="13"/>
    </row>
    <row r="22" spans="1:4" x14ac:dyDescent="0.2">
      <c r="A22" s="34" t="s">
        <v>10</v>
      </c>
      <c r="B22" s="100" t="s">
        <v>11</v>
      </c>
      <c r="C22" s="100"/>
      <c r="D22" s="13">
        <f>8*15*((D19+D20)/220)*0.35</f>
        <v>365.13005454545447</v>
      </c>
    </row>
    <row r="23" spans="1:4" x14ac:dyDescent="0.2">
      <c r="A23" s="34" t="s">
        <v>12</v>
      </c>
      <c r="B23" s="100" t="s">
        <v>13</v>
      </c>
      <c r="C23" s="100"/>
      <c r="D23" s="13">
        <f>15*((D19+D20)/220)</f>
        <v>130.40359090909089</v>
      </c>
    </row>
    <row r="24" spans="1:4" x14ac:dyDescent="0.2">
      <c r="A24" s="34" t="s">
        <v>31</v>
      </c>
      <c r="B24" s="100" t="s">
        <v>114</v>
      </c>
      <c r="C24" s="100"/>
      <c r="D24" s="13">
        <v>0</v>
      </c>
    </row>
    <row r="25" spans="1:4" x14ac:dyDescent="0.2">
      <c r="A25" s="34" t="s">
        <v>14</v>
      </c>
      <c r="B25" s="100" t="s">
        <v>15</v>
      </c>
      <c r="C25" s="100"/>
      <c r="D25" s="13"/>
    </row>
    <row r="26" spans="1:4" x14ac:dyDescent="0.2">
      <c r="A26" s="98" t="s">
        <v>16</v>
      </c>
      <c r="B26" s="98"/>
      <c r="C26" s="98"/>
      <c r="D26" s="18">
        <f>SUM(D19:D25)</f>
        <v>2408.1196454545452</v>
      </c>
    </row>
    <row r="29" spans="1:4" x14ac:dyDescent="0.2">
      <c r="A29" s="99" t="s">
        <v>17</v>
      </c>
      <c r="B29" s="99"/>
      <c r="C29" s="99"/>
      <c r="D29" s="99"/>
    </row>
    <row r="30" spans="1:4" x14ac:dyDescent="0.2">
      <c r="A30" s="3"/>
    </row>
    <row r="31" spans="1:4" x14ac:dyDescent="0.2">
      <c r="A31" s="96" t="s">
        <v>18</v>
      </c>
      <c r="B31" s="96"/>
      <c r="C31" s="96"/>
      <c r="D31" s="96"/>
    </row>
    <row r="33" spans="1:4" x14ac:dyDescent="0.2">
      <c r="A33" s="32" t="s">
        <v>19</v>
      </c>
      <c r="B33" s="98" t="s">
        <v>20</v>
      </c>
      <c r="C33" s="98"/>
      <c r="D33" s="32" t="s">
        <v>3</v>
      </c>
    </row>
    <row r="34" spans="1:4" x14ac:dyDescent="0.2">
      <c r="A34" s="34" t="s">
        <v>4</v>
      </c>
      <c r="B34" s="31" t="s">
        <v>21</v>
      </c>
      <c r="C34" s="12">
        <f>TRUNC(1/12,4)</f>
        <v>8.3299999999999999E-2</v>
      </c>
      <c r="D34" s="13">
        <f>TRUNC($D$26*C34,2)</f>
        <v>200.59</v>
      </c>
    </row>
    <row r="35" spans="1:4" x14ac:dyDescent="0.2">
      <c r="A35" s="34" t="s">
        <v>6</v>
      </c>
      <c r="B35" s="31" t="s">
        <v>117</v>
      </c>
      <c r="C35" s="12">
        <f>TRUNC(((1)/12),4)</f>
        <v>8.3299999999999999E-2</v>
      </c>
      <c r="D35" s="13">
        <f>TRUNC($D$26*C35,2)</f>
        <v>200.59</v>
      </c>
    </row>
    <row r="36" spans="1:4" x14ac:dyDescent="0.2">
      <c r="A36" s="34" t="s">
        <v>8</v>
      </c>
      <c r="B36" s="31" t="s">
        <v>118</v>
      </c>
      <c r="C36" s="36">
        <f>TRUNC(((1/3)/12),4)</f>
        <v>2.7699999999999999E-2</v>
      </c>
      <c r="D36" s="13">
        <f>TRUNC($D$26*C36,2)</f>
        <v>66.7</v>
      </c>
    </row>
    <row r="37" spans="1:4" x14ac:dyDescent="0.2">
      <c r="A37" s="98" t="s">
        <v>16</v>
      </c>
      <c r="B37" s="98"/>
      <c r="C37" s="26">
        <f>SUM(C34:C36)</f>
        <v>0.1943</v>
      </c>
      <c r="D37" s="17">
        <f>SUM(D34:D36)</f>
        <v>467.88</v>
      </c>
    </row>
    <row r="40" spans="1:4" x14ac:dyDescent="0.2">
      <c r="A40" s="112" t="s">
        <v>22</v>
      </c>
      <c r="B40" s="112"/>
      <c r="C40" s="112"/>
      <c r="D40" s="112"/>
    </row>
    <row r="42" spans="1:4" x14ac:dyDescent="0.2">
      <c r="A42" s="32" t="s">
        <v>23</v>
      </c>
      <c r="B42" s="32" t="s">
        <v>24</v>
      </c>
      <c r="C42" s="32" t="s">
        <v>25</v>
      </c>
      <c r="D42" s="32" t="s">
        <v>3</v>
      </c>
    </row>
    <row r="43" spans="1:4" x14ac:dyDescent="0.2">
      <c r="A43" s="34" t="s">
        <v>4</v>
      </c>
      <c r="B43" s="31" t="s">
        <v>26</v>
      </c>
      <c r="C43" s="9">
        <v>0.2</v>
      </c>
      <c r="D43" s="13">
        <f>TRUNC(($D$26+$D$37)*C43,2)</f>
        <v>575.19000000000005</v>
      </c>
    </row>
    <row r="44" spans="1:4" x14ac:dyDescent="0.2">
      <c r="A44" s="34" t="s">
        <v>6</v>
      </c>
      <c r="B44" s="31" t="s">
        <v>27</v>
      </c>
      <c r="C44" s="9">
        <v>2.5000000000000001E-2</v>
      </c>
      <c r="D44" s="13">
        <f t="shared" ref="D44:D50" si="0">TRUNC(($D$26+$D$37)*C44,2)</f>
        <v>71.89</v>
      </c>
    </row>
    <row r="45" spans="1:4" x14ac:dyDescent="0.2">
      <c r="A45" s="34" t="s">
        <v>8</v>
      </c>
      <c r="B45" s="31" t="s">
        <v>28</v>
      </c>
      <c r="C45" s="16">
        <v>0.03</v>
      </c>
      <c r="D45" s="13">
        <f t="shared" si="0"/>
        <v>86.27</v>
      </c>
    </row>
    <row r="46" spans="1:4" x14ac:dyDescent="0.2">
      <c r="A46" s="34" t="s">
        <v>10</v>
      </c>
      <c r="B46" s="31" t="s">
        <v>29</v>
      </c>
      <c r="C46" s="9">
        <v>1.4999999999999999E-2</v>
      </c>
      <c r="D46" s="13">
        <f t="shared" si="0"/>
        <v>43.13</v>
      </c>
    </row>
    <row r="47" spans="1:4" x14ac:dyDescent="0.2">
      <c r="A47" s="34" t="s">
        <v>12</v>
      </c>
      <c r="B47" s="31" t="s">
        <v>30</v>
      </c>
      <c r="C47" s="9">
        <v>0.01</v>
      </c>
      <c r="D47" s="13">
        <f t="shared" si="0"/>
        <v>28.75</v>
      </c>
    </row>
    <row r="48" spans="1:4" x14ac:dyDescent="0.2">
      <c r="A48" s="34" t="s">
        <v>31</v>
      </c>
      <c r="B48" s="31" t="s">
        <v>32</v>
      </c>
      <c r="C48" s="9">
        <v>6.0000000000000001E-3</v>
      </c>
      <c r="D48" s="13">
        <f t="shared" si="0"/>
        <v>17.25</v>
      </c>
    </row>
    <row r="49" spans="1:4" x14ac:dyDescent="0.2">
      <c r="A49" s="34" t="s">
        <v>14</v>
      </c>
      <c r="B49" s="31" t="s">
        <v>33</v>
      </c>
      <c r="C49" s="9">
        <v>2E-3</v>
      </c>
      <c r="D49" s="13">
        <f t="shared" si="0"/>
        <v>5.75</v>
      </c>
    </row>
    <row r="50" spans="1:4" x14ac:dyDescent="0.2">
      <c r="A50" s="34" t="s">
        <v>34</v>
      </c>
      <c r="B50" s="31" t="s">
        <v>35</v>
      </c>
      <c r="C50" s="9">
        <v>0.08</v>
      </c>
      <c r="D50" s="13">
        <f t="shared" si="0"/>
        <v>230.07</v>
      </c>
    </row>
    <row r="51" spans="1:4" x14ac:dyDescent="0.2">
      <c r="A51" s="98" t="s">
        <v>36</v>
      </c>
      <c r="B51" s="98"/>
      <c r="C51" s="15">
        <f>SUM(C43:C50)</f>
        <v>0.36800000000000005</v>
      </c>
      <c r="D51" s="17">
        <f>SUM(D43:D50)</f>
        <v>1058.3</v>
      </c>
    </row>
    <row r="54" spans="1:4" x14ac:dyDescent="0.2">
      <c r="A54" s="96" t="s">
        <v>37</v>
      </c>
      <c r="B54" s="96"/>
      <c r="C54" s="96"/>
      <c r="D54" s="96"/>
    </row>
    <row r="56" spans="1:4" x14ac:dyDescent="0.2">
      <c r="A56" s="32" t="s">
        <v>38</v>
      </c>
      <c r="B56" s="97" t="s">
        <v>39</v>
      </c>
      <c r="C56" s="97"/>
      <c r="D56" s="32" t="s">
        <v>3</v>
      </c>
    </row>
    <row r="57" spans="1:4" x14ac:dyDescent="0.2">
      <c r="A57" s="34" t="s">
        <v>4</v>
      </c>
      <c r="B57" s="100" t="s">
        <v>40</v>
      </c>
      <c r="C57" s="100"/>
      <c r="D57" s="13">
        <f>(15*2*5.2)-(D19*0.06)</f>
        <v>67.726799999999997</v>
      </c>
    </row>
    <row r="58" spans="1:4" x14ac:dyDescent="0.2">
      <c r="A58" s="34" t="s">
        <v>6</v>
      </c>
      <c r="B58" s="100" t="s">
        <v>41</v>
      </c>
      <c r="C58" s="100"/>
      <c r="D58" s="13">
        <f>16.59*15*0.85</f>
        <v>211.52249999999998</v>
      </c>
    </row>
    <row r="59" spans="1:4" x14ac:dyDescent="0.2">
      <c r="A59" s="34" t="s">
        <v>8</v>
      </c>
      <c r="B59" s="100" t="s">
        <v>110</v>
      </c>
      <c r="C59" s="100"/>
      <c r="D59" s="13">
        <v>52.87</v>
      </c>
    </row>
    <row r="60" spans="1:4" x14ac:dyDescent="0.2">
      <c r="A60" s="34" t="s">
        <v>10</v>
      </c>
      <c r="B60" s="100" t="s">
        <v>104</v>
      </c>
      <c r="C60" s="100"/>
      <c r="D60" s="13">
        <v>8.5</v>
      </c>
    </row>
    <row r="61" spans="1:4" x14ac:dyDescent="0.2">
      <c r="A61" s="34" t="s">
        <v>12</v>
      </c>
      <c r="B61" s="100" t="s">
        <v>105</v>
      </c>
      <c r="C61" s="100"/>
      <c r="D61" s="13">
        <v>3.5</v>
      </c>
    </row>
    <row r="62" spans="1:4" x14ac:dyDescent="0.2">
      <c r="A62" s="34" t="s">
        <v>31</v>
      </c>
      <c r="B62" s="100" t="s">
        <v>111</v>
      </c>
      <c r="C62" s="100"/>
      <c r="D62" s="13"/>
    </row>
    <row r="63" spans="1:4" x14ac:dyDescent="0.2">
      <c r="A63" s="41" t="s">
        <v>14</v>
      </c>
      <c r="B63" s="100" t="s">
        <v>179</v>
      </c>
      <c r="C63" s="100"/>
      <c r="D63" s="13">
        <f>(13.04*12)/12</f>
        <v>13.04</v>
      </c>
    </row>
    <row r="64" spans="1:4" x14ac:dyDescent="0.2">
      <c r="A64" s="93" t="s">
        <v>34</v>
      </c>
      <c r="B64" s="100" t="s">
        <v>207</v>
      </c>
      <c r="C64" s="100"/>
      <c r="D64" s="13">
        <f>D19*0.22*(21/24)</f>
        <v>283.20985000000002</v>
      </c>
    </row>
    <row r="65" spans="1:4" x14ac:dyDescent="0.2">
      <c r="A65" s="93" t="s">
        <v>206</v>
      </c>
      <c r="B65" s="100" t="s">
        <v>209</v>
      </c>
      <c r="C65" s="100"/>
      <c r="D65" s="13">
        <f>233.73*(2/3)</f>
        <v>155.82</v>
      </c>
    </row>
    <row r="66" spans="1:4" x14ac:dyDescent="0.2">
      <c r="A66" s="98" t="s">
        <v>16</v>
      </c>
      <c r="B66" s="98"/>
      <c r="C66" s="98"/>
      <c r="D66" s="17">
        <f>SUM(D57:D65)</f>
        <v>796.18914999999993</v>
      </c>
    </row>
    <row r="69" spans="1:4" x14ac:dyDescent="0.2">
      <c r="A69" s="96" t="s">
        <v>42</v>
      </c>
      <c r="B69" s="96"/>
      <c r="C69" s="96"/>
      <c r="D69" s="96"/>
    </row>
    <row r="71" spans="1:4" x14ac:dyDescent="0.2">
      <c r="A71" s="32">
        <v>2</v>
      </c>
      <c r="B71" s="97" t="s">
        <v>43</v>
      </c>
      <c r="C71" s="97"/>
      <c r="D71" s="32" t="s">
        <v>3</v>
      </c>
    </row>
    <row r="72" spans="1:4" x14ac:dyDescent="0.2">
      <c r="A72" s="34" t="s">
        <v>19</v>
      </c>
      <c r="B72" s="100" t="s">
        <v>20</v>
      </c>
      <c r="C72" s="100"/>
      <c r="D72" s="14">
        <f>D37</f>
        <v>467.88</v>
      </c>
    </row>
    <row r="73" spans="1:4" x14ac:dyDescent="0.2">
      <c r="A73" s="34" t="s">
        <v>23</v>
      </c>
      <c r="B73" s="100" t="s">
        <v>24</v>
      </c>
      <c r="C73" s="100"/>
      <c r="D73" s="14">
        <f>D51</f>
        <v>1058.3</v>
      </c>
    </row>
    <row r="74" spans="1:4" x14ac:dyDescent="0.2">
      <c r="A74" s="34" t="s">
        <v>38</v>
      </c>
      <c r="B74" s="100" t="s">
        <v>39</v>
      </c>
      <c r="C74" s="100"/>
      <c r="D74" s="14">
        <f>D66</f>
        <v>796.18914999999993</v>
      </c>
    </row>
    <row r="75" spans="1:4" x14ac:dyDescent="0.2">
      <c r="A75" s="98" t="s">
        <v>16</v>
      </c>
      <c r="B75" s="98"/>
      <c r="C75" s="98"/>
      <c r="D75" s="17">
        <f>SUM(D72:D74)</f>
        <v>2322.3691499999995</v>
      </c>
    </row>
    <row r="76" spans="1:4" x14ac:dyDescent="0.2">
      <c r="A76" s="4"/>
    </row>
    <row r="78" spans="1:4" x14ac:dyDescent="0.2">
      <c r="A78" s="99" t="s">
        <v>44</v>
      </c>
      <c r="B78" s="99"/>
      <c r="C78" s="99"/>
      <c r="D78" s="99"/>
    </row>
    <row r="79" spans="1:4" ht="12.75" customHeight="1" x14ac:dyDescent="0.2"/>
    <row r="80" spans="1:4" x14ac:dyDescent="0.2">
      <c r="A80" s="32">
        <v>3</v>
      </c>
      <c r="B80" s="97" t="s">
        <v>45</v>
      </c>
      <c r="C80" s="97"/>
      <c r="D80" s="32" t="s">
        <v>3</v>
      </c>
    </row>
    <row r="81" spans="1:4" x14ac:dyDescent="0.2">
      <c r="A81" s="34" t="s">
        <v>4</v>
      </c>
      <c r="B81" s="10" t="s">
        <v>46</v>
      </c>
      <c r="C81" s="9">
        <f>TRUNC(((1/12)*5%),4)</f>
        <v>4.1000000000000003E-3</v>
      </c>
      <c r="D81" s="13">
        <f>TRUNC($D$26*C81,2)</f>
        <v>9.8699999999999992</v>
      </c>
    </row>
    <row r="82" spans="1:4" x14ac:dyDescent="0.2">
      <c r="A82" s="34" t="s">
        <v>6</v>
      </c>
      <c r="B82" s="10" t="s">
        <v>47</v>
      </c>
      <c r="C82" s="9">
        <v>0.08</v>
      </c>
      <c r="D82" s="13">
        <f>TRUNC(D81*C82,2)</f>
        <v>0.78</v>
      </c>
    </row>
    <row r="83" spans="1:4" x14ac:dyDescent="0.2">
      <c r="A83" s="34" t="s">
        <v>8</v>
      </c>
      <c r="B83" s="10" t="s">
        <v>48</v>
      </c>
      <c r="C83" s="9">
        <f>TRUNC(8%*5%*40%,4)</f>
        <v>1.6000000000000001E-3</v>
      </c>
      <c r="D83" s="13">
        <f>TRUNC($D$26*C83,2)</f>
        <v>3.85</v>
      </c>
    </row>
    <row r="84" spans="1:4" x14ac:dyDescent="0.2">
      <c r="A84" s="34" t="s">
        <v>10</v>
      </c>
      <c r="B84" s="10" t="s">
        <v>49</v>
      </c>
      <c r="C84" s="9">
        <f>TRUNC(((7/30)/12)*95%,4)</f>
        <v>1.84E-2</v>
      </c>
      <c r="D84" s="13">
        <f>TRUNC($D$26*C84,2)</f>
        <v>44.3</v>
      </c>
    </row>
    <row r="85" spans="1:4" ht="25.5" x14ac:dyDescent="0.2">
      <c r="A85" s="34" t="s">
        <v>12</v>
      </c>
      <c r="B85" s="10" t="s">
        <v>94</v>
      </c>
      <c r="C85" s="9">
        <f>C51</f>
        <v>0.36800000000000005</v>
      </c>
      <c r="D85" s="13">
        <f>TRUNC(D84*C85,2)</f>
        <v>16.3</v>
      </c>
    </row>
    <row r="86" spans="1:4" x14ac:dyDescent="0.2">
      <c r="A86" s="34" t="s">
        <v>31</v>
      </c>
      <c r="B86" s="10" t="s">
        <v>50</v>
      </c>
      <c r="C86" s="9">
        <f>TRUNC(8%*95%*40%,4)</f>
        <v>3.04E-2</v>
      </c>
      <c r="D86" s="13">
        <f t="shared" ref="D86" si="1">TRUNC($D$26*C86,2)</f>
        <v>73.2</v>
      </c>
    </row>
    <row r="87" spans="1:4" x14ac:dyDescent="0.2">
      <c r="A87" s="101" t="s">
        <v>16</v>
      </c>
      <c r="B87" s="110"/>
      <c r="C87" s="102"/>
      <c r="D87" s="17">
        <f>SUM(D81:D86)</f>
        <v>148.30000000000001</v>
      </c>
    </row>
    <row r="90" spans="1:4" x14ac:dyDescent="0.2">
      <c r="A90" s="99" t="s">
        <v>51</v>
      </c>
      <c r="B90" s="99"/>
      <c r="C90" s="99"/>
      <c r="D90" s="99"/>
    </row>
    <row r="93" spans="1:4" x14ac:dyDescent="0.2">
      <c r="A93" s="96" t="s">
        <v>78</v>
      </c>
      <c r="B93" s="96"/>
      <c r="C93" s="96"/>
      <c r="D93" s="96"/>
    </row>
    <row r="94" spans="1:4" x14ac:dyDescent="0.2">
      <c r="A94" s="3"/>
    </row>
    <row r="95" spans="1:4" x14ac:dyDescent="0.2">
      <c r="A95" s="32" t="s">
        <v>52</v>
      </c>
      <c r="B95" s="97" t="s">
        <v>79</v>
      </c>
      <c r="C95" s="97"/>
      <c r="D95" s="32" t="s">
        <v>3</v>
      </c>
    </row>
    <row r="96" spans="1:4" x14ac:dyDescent="0.2">
      <c r="A96" s="34" t="s">
        <v>4</v>
      </c>
      <c r="B96" s="31" t="s">
        <v>80</v>
      </c>
      <c r="C96" s="9">
        <f>TRUNC(((1+1/3)/12)/12,4)</f>
        <v>9.1999999999999998E-3</v>
      </c>
      <c r="D96" s="13">
        <f t="shared" ref="D96:D101" si="2">TRUNC(($D$26+$D$75+$D$87)*C96,2)</f>
        <v>44.88</v>
      </c>
    </row>
    <row r="97" spans="1:4" x14ac:dyDescent="0.2">
      <c r="A97" s="34" t="s">
        <v>6</v>
      </c>
      <c r="B97" s="31" t="s">
        <v>81</v>
      </c>
      <c r="C97" s="9">
        <f>TRUNC(((2/30)/12),4)</f>
        <v>5.4999999999999997E-3</v>
      </c>
      <c r="D97" s="13">
        <f t="shared" si="2"/>
        <v>26.83</v>
      </c>
    </row>
    <row r="98" spans="1:4" x14ac:dyDescent="0.2">
      <c r="A98" s="34" t="s">
        <v>8</v>
      </c>
      <c r="B98" s="31" t="s">
        <v>82</v>
      </c>
      <c r="C98" s="9">
        <f>TRUNC(((5/30)/12)*2%,4)</f>
        <v>2.0000000000000001E-4</v>
      </c>
      <c r="D98" s="13">
        <f t="shared" si="2"/>
        <v>0.97</v>
      </c>
    </row>
    <row r="99" spans="1:4" x14ac:dyDescent="0.2">
      <c r="A99" s="34" t="s">
        <v>10</v>
      </c>
      <c r="B99" s="31" t="s">
        <v>83</v>
      </c>
      <c r="C99" s="9">
        <f>TRUNC(((15/30)/12)*8%,4)</f>
        <v>3.3E-3</v>
      </c>
      <c r="D99" s="13">
        <f t="shared" si="2"/>
        <v>16.100000000000001</v>
      </c>
    </row>
    <row r="100" spans="1:4" x14ac:dyDescent="0.2">
      <c r="A100" s="34" t="s">
        <v>12</v>
      </c>
      <c r="B100" s="31" t="s">
        <v>84</v>
      </c>
      <c r="C100" s="9">
        <f>((1+1/3)/12)*3%*(4/12)</f>
        <v>1.1111111111111109E-3</v>
      </c>
      <c r="D100" s="13">
        <f t="shared" si="2"/>
        <v>5.42</v>
      </c>
    </row>
    <row r="101" spans="1:4" x14ac:dyDescent="0.2">
      <c r="A101" s="34" t="s">
        <v>31</v>
      </c>
      <c r="B101" s="31" t="s">
        <v>85</v>
      </c>
      <c r="C101" s="9"/>
      <c r="D101" s="13">
        <f t="shared" si="2"/>
        <v>0</v>
      </c>
    </row>
    <row r="102" spans="1:4" x14ac:dyDescent="0.2">
      <c r="A102" s="98" t="s">
        <v>36</v>
      </c>
      <c r="B102" s="98"/>
      <c r="C102" s="98"/>
      <c r="D102" s="17">
        <f>SUM(D96:D101)</f>
        <v>94.2</v>
      </c>
    </row>
    <row r="105" spans="1:4" x14ac:dyDescent="0.2">
      <c r="A105" s="96" t="s">
        <v>86</v>
      </c>
      <c r="B105" s="96"/>
      <c r="C105" s="96"/>
      <c r="D105" s="96"/>
    </row>
    <row r="106" spans="1:4" x14ac:dyDescent="0.2">
      <c r="A106" s="3"/>
    </row>
    <row r="107" spans="1:4" x14ac:dyDescent="0.2">
      <c r="A107" s="32" t="s">
        <v>53</v>
      </c>
      <c r="B107" s="97" t="s">
        <v>87</v>
      </c>
      <c r="C107" s="97"/>
      <c r="D107" s="32" t="s">
        <v>3</v>
      </c>
    </row>
    <row r="108" spans="1:4" x14ac:dyDescent="0.2">
      <c r="A108" s="34" t="s">
        <v>4</v>
      </c>
      <c r="B108" s="107" t="s">
        <v>88</v>
      </c>
      <c r="C108" s="108"/>
      <c r="D108" s="13">
        <f>((D26+D75+D87)/220)*22*0</f>
        <v>0</v>
      </c>
    </row>
    <row r="109" spans="1:4" x14ac:dyDescent="0.2">
      <c r="A109" s="98" t="s">
        <v>16</v>
      </c>
      <c r="B109" s="98"/>
      <c r="C109" s="98"/>
      <c r="D109" s="17">
        <f>SUM(D108)</f>
        <v>0</v>
      </c>
    </row>
    <row r="112" spans="1:4" x14ac:dyDescent="0.2">
      <c r="A112" s="96" t="s">
        <v>54</v>
      </c>
      <c r="B112" s="96"/>
      <c r="C112" s="96"/>
      <c r="D112" s="96"/>
    </row>
    <row r="113" spans="1:4" x14ac:dyDescent="0.2">
      <c r="A113" s="3"/>
    </row>
    <row r="114" spans="1:4" x14ac:dyDescent="0.2">
      <c r="A114" s="32">
        <v>4</v>
      </c>
      <c r="B114" s="98" t="s">
        <v>55</v>
      </c>
      <c r="C114" s="98"/>
      <c r="D114" s="32" t="s">
        <v>3</v>
      </c>
    </row>
    <row r="115" spans="1:4" x14ac:dyDescent="0.2">
      <c r="A115" s="34" t="s">
        <v>52</v>
      </c>
      <c r="B115" s="100" t="s">
        <v>79</v>
      </c>
      <c r="C115" s="100"/>
      <c r="D115" s="14">
        <f>D102</f>
        <v>94.2</v>
      </c>
    </row>
    <row r="116" spans="1:4" x14ac:dyDescent="0.2">
      <c r="A116" s="34" t="s">
        <v>53</v>
      </c>
      <c r="B116" s="100" t="s">
        <v>87</v>
      </c>
      <c r="C116" s="100"/>
      <c r="D116" s="14">
        <f>D109</f>
        <v>0</v>
      </c>
    </row>
    <row r="117" spans="1:4" x14ac:dyDescent="0.2">
      <c r="A117" s="98" t="s">
        <v>16</v>
      </c>
      <c r="B117" s="98"/>
      <c r="C117" s="98"/>
      <c r="D117" s="17">
        <f>SUM(D115:D116)</f>
        <v>94.2</v>
      </c>
    </row>
    <row r="120" spans="1:4" x14ac:dyDescent="0.2">
      <c r="A120" s="99" t="s">
        <v>56</v>
      </c>
      <c r="B120" s="99"/>
      <c r="C120" s="99"/>
      <c r="D120" s="99"/>
    </row>
    <row r="122" spans="1:4" x14ac:dyDescent="0.2">
      <c r="A122" s="32">
        <v>5</v>
      </c>
      <c r="B122" s="109" t="s">
        <v>57</v>
      </c>
      <c r="C122" s="109"/>
      <c r="D122" s="32" t="s">
        <v>3</v>
      </c>
    </row>
    <row r="123" spans="1:4" x14ac:dyDescent="0.2">
      <c r="A123" s="34" t="s">
        <v>4</v>
      </c>
      <c r="B123" s="100" t="s">
        <v>58</v>
      </c>
      <c r="C123" s="100"/>
      <c r="D123" s="13">
        <v>151.96</v>
      </c>
    </row>
    <row r="124" spans="1:4" x14ac:dyDescent="0.2">
      <c r="A124" s="34" t="s">
        <v>6</v>
      </c>
      <c r="B124" s="100" t="s">
        <v>59</v>
      </c>
      <c r="C124" s="100"/>
      <c r="D124" s="13">
        <v>2.2599999999999998</v>
      </c>
    </row>
    <row r="125" spans="1:4" x14ac:dyDescent="0.2">
      <c r="A125" s="34" t="s">
        <v>8</v>
      </c>
      <c r="B125" s="100" t="s">
        <v>60</v>
      </c>
      <c r="C125" s="100"/>
      <c r="D125" s="13">
        <v>21.12</v>
      </c>
    </row>
    <row r="126" spans="1:4" x14ac:dyDescent="0.2">
      <c r="A126" s="34" t="s">
        <v>10</v>
      </c>
      <c r="B126" s="100" t="s">
        <v>180</v>
      </c>
      <c r="C126" s="100"/>
      <c r="D126" s="13">
        <v>93.59</v>
      </c>
    </row>
    <row r="127" spans="1:4" x14ac:dyDescent="0.2">
      <c r="A127" s="93" t="s">
        <v>12</v>
      </c>
      <c r="B127" s="100" t="s">
        <v>208</v>
      </c>
      <c r="C127" s="100"/>
      <c r="D127" s="13">
        <v>84</v>
      </c>
    </row>
    <row r="128" spans="1:4" x14ac:dyDescent="0.2">
      <c r="A128" s="98" t="s">
        <v>36</v>
      </c>
      <c r="B128" s="98"/>
      <c r="C128" s="98"/>
      <c r="D128" s="18">
        <f>SUM(D123:D127)</f>
        <v>352.93</v>
      </c>
    </row>
    <row r="131" spans="1:4" x14ac:dyDescent="0.2">
      <c r="A131" s="99" t="s">
        <v>61</v>
      </c>
      <c r="B131" s="99"/>
      <c r="C131" s="99"/>
      <c r="D131" s="99"/>
    </row>
    <row r="133" spans="1:4" x14ac:dyDescent="0.2">
      <c r="A133" s="32">
        <v>6</v>
      </c>
      <c r="B133" s="33" t="s">
        <v>62</v>
      </c>
      <c r="C133" s="32" t="s">
        <v>25</v>
      </c>
      <c r="D133" s="32" t="s">
        <v>3</v>
      </c>
    </row>
    <row r="134" spans="1:4" x14ac:dyDescent="0.2">
      <c r="A134" s="34" t="s">
        <v>4</v>
      </c>
      <c r="B134" s="31" t="s">
        <v>63</v>
      </c>
      <c r="C134" s="9">
        <v>0.06</v>
      </c>
      <c r="D134" s="14">
        <f>D154*C134</f>
        <v>319.55512772727269</v>
      </c>
    </row>
    <row r="135" spans="1:4" x14ac:dyDescent="0.2">
      <c r="A135" s="34" t="s">
        <v>6</v>
      </c>
      <c r="B135" s="31" t="s">
        <v>64</v>
      </c>
      <c r="C135" s="9">
        <v>6.7900000000000002E-2</v>
      </c>
      <c r="D135" s="13">
        <f>(D154+D134)*C135</f>
        <v>383.32767938404544</v>
      </c>
    </row>
    <row r="136" spans="1:4" x14ac:dyDescent="0.2">
      <c r="A136" s="34" t="s">
        <v>8</v>
      </c>
      <c r="B136" s="31" t="s">
        <v>65</v>
      </c>
      <c r="C136" s="12">
        <f>SUM(C137:C142)</f>
        <v>8.6499999999999994E-2</v>
      </c>
      <c r="D136" s="13">
        <f>(D154+D134+D135)*C136/(1-C136)</f>
        <v>570.87174452320426</v>
      </c>
    </row>
    <row r="137" spans="1:4" x14ac:dyDescent="0.2">
      <c r="A137" s="34"/>
      <c r="B137" s="31" t="s">
        <v>66</v>
      </c>
      <c r="C137" s="9"/>
      <c r="D137" s="14">
        <f>$D$156*C137</f>
        <v>0</v>
      </c>
    </row>
    <row r="138" spans="1:4" x14ac:dyDescent="0.2">
      <c r="A138" s="34"/>
      <c r="B138" s="31" t="s">
        <v>96</v>
      </c>
      <c r="C138" s="9">
        <v>6.4999999999999997E-3</v>
      </c>
      <c r="D138" s="14">
        <f t="shared" ref="D138:D142" si="3">$D$156*C138</f>
        <v>42.897876756078936</v>
      </c>
    </row>
    <row r="139" spans="1:4" x14ac:dyDescent="0.2">
      <c r="A139" s="34"/>
      <c r="B139" s="31" t="s">
        <v>97</v>
      </c>
      <c r="C139" s="9">
        <v>0.03</v>
      </c>
      <c r="D139" s="14">
        <f t="shared" si="3"/>
        <v>197.99020041267201</v>
      </c>
    </row>
    <row r="140" spans="1:4" x14ac:dyDescent="0.2">
      <c r="A140" s="34"/>
      <c r="B140" s="31" t="s">
        <v>67</v>
      </c>
      <c r="C140" s="34"/>
      <c r="D140" s="14">
        <f t="shared" si="3"/>
        <v>0</v>
      </c>
    </row>
    <row r="141" spans="1:4" x14ac:dyDescent="0.2">
      <c r="A141" s="34"/>
      <c r="B141" s="31" t="s">
        <v>68</v>
      </c>
      <c r="C141" s="9"/>
      <c r="D141" s="14">
        <f t="shared" si="3"/>
        <v>0</v>
      </c>
    </row>
    <row r="142" spans="1:4" x14ac:dyDescent="0.2">
      <c r="A142" s="34"/>
      <c r="B142" s="31" t="s">
        <v>98</v>
      </c>
      <c r="C142" s="9">
        <v>0.05</v>
      </c>
      <c r="D142" s="14">
        <f t="shared" si="3"/>
        <v>329.98366735445342</v>
      </c>
    </row>
    <row r="143" spans="1:4" ht="13.5" x14ac:dyDescent="0.2">
      <c r="A143" s="101" t="s">
        <v>36</v>
      </c>
      <c r="B143" s="110"/>
      <c r="C143" s="19">
        <f>(1+C135)*(1+C134)/(1-C136)-1</f>
        <v>0.2391614668856048</v>
      </c>
      <c r="D143" s="17">
        <f>SUM(D134:D136)</f>
        <v>1273.7545516345224</v>
      </c>
    </row>
    <row r="146" spans="1:4" x14ac:dyDescent="0.2">
      <c r="A146" s="99" t="s">
        <v>69</v>
      </c>
      <c r="B146" s="99"/>
      <c r="C146" s="99"/>
      <c r="D146" s="99"/>
    </row>
    <row r="148" spans="1:4" x14ac:dyDescent="0.2">
      <c r="A148" s="32"/>
      <c r="B148" s="98" t="s">
        <v>70</v>
      </c>
      <c r="C148" s="98"/>
      <c r="D148" s="32" t="s">
        <v>3</v>
      </c>
    </row>
    <row r="149" spans="1:4" x14ac:dyDescent="0.2">
      <c r="A149" s="32" t="s">
        <v>4</v>
      </c>
      <c r="B149" s="100" t="s">
        <v>1</v>
      </c>
      <c r="C149" s="100"/>
      <c r="D149" s="20">
        <f>D26</f>
        <v>2408.1196454545452</v>
      </c>
    </row>
    <row r="150" spans="1:4" x14ac:dyDescent="0.2">
      <c r="A150" s="32" t="s">
        <v>6</v>
      </c>
      <c r="B150" s="100" t="s">
        <v>17</v>
      </c>
      <c r="C150" s="100"/>
      <c r="D150" s="20">
        <f>D75</f>
        <v>2322.3691499999995</v>
      </c>
    </row>
    <row r="151" spans="1:4" x14ac:dyDescent="0.2">
      <c r="A151" s="32" t="s">
        <v>8</v>
      </c>
      <c r="B151" s="100" t="s">
        <v>44</v>
      </c>
      <c r="C151" s="100"/>
      <c r="D151" s="20">
        <f>D87</f>
        <v>148.30000000000001</v>
      </c>
    </row>
    <row r="152" spans="1:4" x14ac:dyDescent="0.2">
      <c r="A152" s="32" t="s">
        <v>10</v>
      </c>
      <c r="B152" s="100" t="s">
        <v>51</v>
      </c>
      <c r="C152" s="100"/>
      <c r="D152" s="20">
        <f>D117</f>
        <v>94.2</v>
      </c>
    </row>
    <row r="153" spans="1:4" x14ac:dyDescent="0.2">
      <c r="A153" s="32" t="s">
        <v>12</v>
      </c>
      <c r="B153" s="100" t="s">
        <v>56</v>
      </c>
      <c r="C153" s="100"/>
      <c r="D153" s="20">
        <f>D128</f>
        <v>352.93</v>
      </c>
    </row>
    <row r="154" spans="1:4" x14ac:dyDescent="0.2">
      <c r="A154" s="98" t="s">
        <v>95</v>
      </c>
      <c r="B154" s="98"/>
      <c r="C154" s="98"/>
      <c r="D154" s="21">
        <f>SUM(D149:D153)</f>
        <v>5325.918795454545</v>
      </c>
    </row>
    <row r="155" spans="1:4" x14ac:dyDescent="0.2">
      <c r="A155" s="32" t="s">
        <v>31</v>
      </c>
      <c r="B155" s="100" t="s">
        <v>71</v>
      </c>
      <c r="C155" s="100"/>
      <c r="D155" s="22">
        <f>D143</f>
        <v>1273.7545516345224</v>
      </c>
    </row>
    <row r="156" spans="1:4" x14ac:dyDescent="0.2">
      <c r="A156" s="98" t="s">
        <v>72</v>
      </c>
      <c r="B156" s="98"/>
      <c r="C156" s="98"/>
      <c r="D156" s="21">
        <f>SUM(D154:D155)</f>
        <v>6599.6733470890676</v>
      </c>
    </row>
  </sheetData>
  <mergeCells count="80">
    <mergeCell ref="A154:C154"/>
    <mergeCell ref="B155:C155"/>
    <mergeCell ref="A156:C156"/>
    <mergeCell ref="B148:C148"/>
    <mergeCell ref="B149:C149"/>
    <mergeCell ref="B150:C150"/>
    <mergeCell ref="B151:C151"/>
    <mergeCell ref="B152:C152"/>
    <mergeCell ref="B153:C153"/>
    <mergeCell ref="A146:D146"/>
    <mergeCell ref="A109:C109"/>
    <mergeCell ref="A112:D112"/>
    <mergeCell ref="B114:C114"/>
    <mergeCell ref="B115:C115"/>
    <mergeCell ref="B116:C116"/>
    <mergeCell ref="A117:C117"/>
    <mergeCell ref="A120:D120"/>
    <mergeCell ref="B122:C122"/>
    <mergeCell ref="A128:C128"/>
    <mergeCell ref="A131:D131"/>
    <mergeCell ref="A143:B143"/>
    <mergeCell ref="B123:C123"/>
    <mergeCell ref="B124:C124"/>
    <mergeCell ref="B125:C125"/>
    <mergeCell ref="B126:C126"/>
    <mergeCell ref="B108:C108"/>
    <mergeCell ref="B74:C74"/>
    <mergeCell ref="A75:C75"/>
    <mergeCell ref="A78:D78"/>
    <mergeCell ref="B80:C80"/>
    <mergeCell ref="A87:C87"/>
    <mergeCell ref="A90:D90"/>
    <mergeCell ref="A93:D93"/>
    <mergeCell ref="B95:C95"/>
    <mergeCell ref="A102:C102"/>
    <mergeCell ref="A105:D105"/>
    <mergeCell ref="B107:C107"/>
    <mergeCell ref="B73:C73"/>
    <mergeCell ref="B59:C59"/>
    <mergeCell ref="B60:C60"/>
    <mergeCell ref="B61:C61"/>
    <mergeCell ref="B62:C62"/>
    <mergeCell ref="A66:C66"/>
    <mergeCell ref="A69:D69"/>
    <mergeCell ref="B71:C71"/>
    <mergeCell ref="B72:C72"/>
    <mergeCell ref="B63:C63"/>
    <mergeCell ref="B64:C64"/>
    <mergeCell ref="B65:C65"/>
    <mergeCell ref="B21:C21"/>
    <mergeCell ref="B22:C22"/>
    <mergeCell ref="B23:C23"/>
    <mergeCell ref="B58:C58"/>
    <mergeCell ref="B25:C25"/>
    <mergeCell ref="A26:C26"/>
    <mergeCell ref="A29:D29"/>
    <mergeCell ref="A31:D31"/>
    <mergeCell ref="B33:C33"/>
    <mergeCell ref="A37:B37"/>
    <mergeCell ref="A40:D40"/>
    <mergeCell ref="A51:B51"/>
    <mergeCell ref="A54:D54"/>
    <mergeCell ref="B56:C56"/>
    <mergeCell ref="B57:C57"/>
    <mergeCell ref="B127:C127"/>
    <mergeCell ref="C10:D10"/>
    <mergeCell ref="A1:D1"/>
    <mergeCell ref="A3:D3"/>
    <mergeCell ref="A5:B5"/>
    <mergeCell ref="A6:B6"/>
    <mergeCell ref="A8:D8"/>
    <mergeCell ref="B24:C24"/>
    <mergeCell ref="C11:D11"/>
    <mergeCell ref="C12:D12"/>
    <mergeCell ref="C13:D13"/>
    <mergeCell ref="C14:D14"/>
    <mergeCell ref="A16:D16"/>
    <mergeCell ref="B18:C18"/>
    <mergeCell ref="B19:C19"/>
    <mergeCell ref="B20:C20"/>
  </mergeCells>
  <pageMargins left="0.511811024" right="0.511811024" top="0.78740157499999996" bottom="0.78740157499999996" header="0.31496062000000002" footer="0.31496062000000002"/>
  <pageSetup paperSize="9" scale="84"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56"/>
  <sheetViews>
    <sheetView topLeftCell="A88" zoomScale="115" zoomScaleNormal="115" workbookViewId="0">
      <selection activeCell="F15" sqref="F15:G15"/>
    </sheetView>
  </sheetViews>
  <sheetFormatPr defaultRowHeight="12.75" x14ac:dyDescent="0.2"/>
  <cols>
    <col min="1" max="1" width="9.140625" style="1"/>
    <col min="2" max="2" width="60.28515625" style="1" customWidth="1"/>
    <col min="3" max="3" width="18" style="1" customWidth="1"/>
    <col min="4" max="4" width="21.42578125" style="1" customWidth="1"/>
    <col min="5" max="5" width="15.140625" style="1" customWidth="1"/>
    <col min="6" max="16384" width="9.140625" style="1"/>
  </cols>
  <sheetData>
    <row r="1" spans="1:4" ht="15.75" x14ac:dyDescent="0.25">
      <c r="A1" s="111" t="s">
        <v>0</v>
      </c>
      <c r="B1" s="111"/>
      <c r="C1" s="111"/>
      <c r="D1" s="111"/>
    </row>
    <row r="2" spans="1:4" ht="15.75" x14ac:dyDescent="0.25">
      <c r="A2" s="24"/>
      <c r="B2" s="24"/>
      <c r="C2" s="24"/>
      <c r="D2" s="24"/>
    </row>
    <row r="3" spans="1:4" x14ac:dyDescent="0.2">
      <c r="A3" s="106" t="s">
        <v>89</v>
      </c>
      <c r="B3" s="106"/>
      <c r="C3" s="106"/>
      <c r="D3" s="106"/>
    </row>
    <row r="4" spans="1:4" x14ac:dyDescent="0.2">
      <c r="A4" s="2"/>
      <c r="B4" s="2"/>
      <c r="C4" s="2"/>
      <c r="D4" s="2"/>
    </row>
    <row r="5" spans="1:4" ht="38.25" x14ac:dyDescent="0.2">
      <c r="A5" s="113" t="s">
        <v>90</v>
      </c>
      <c r="B5" s="113"/>
      <c r="C5" s="34" t="s">
        <v>91</v>
      </c>
      <c r="D5" s="25" t="s">
        <v>92</v>
      </c>
    </row>
    <row r="6" spans="1:4" ht="25.5" customHeight="1" x14ac:dyDescent="0.2">
      <c r="A6" s="101" t="s">
        <v>115</v>
      </c>
      <c r="B6" s="102"/>
      <c r="C6" s="35" t="s">
        <v>100</v>
      </c>
      <c r="D6" s="35">
        <v>43</v>
      </c>
    </row>
    <row r="8" spans="1:4" x14ac:dyDescent="0.2">
      <c r="A8" s="106" t="s">
        <v>73</v>
      </c>
      <c r="B8" s="106"/>
      <c r="C8" s="106"/>
      <c r="D8" s="106"/>
    </row>
    <row r="9" spans="1:4" x14ac:dyDescent="0.2">
      <c r="A9" s="2"/>
      <c r="B9" s="2"/>
      <c r="C9" s="2"/>
      <c r="D9" s="2"/>
    </row>
    <row r="10" spans="1:4" x14ac:dyDescent="0.2">
      <c r="A10" s="5">
        <v>1</v>
      </c>
      <c r="B10" s="5" t="s">
        <v>74</v>
      </c>
      <c r="C10" s="103" t="s">
        <v>113</v>
      </c>
      <c r="D10" s="104"/>
    </row>
    <row r="11" spans="1:4" x14ac:dyDescent="0.2">
      <c r="A11" s="5">
        <v>2</v>
      </c>
      <c r="B11" s="5" t="s">
        <v>93</v>
      </c>
      <c r="C11" s="103">
        <v>517330</v>
      </c>
      <c r="D11" s="104"/>
    </row>
    <row r="12" spans="1:4" x14ac:dyDescent="0.2">
      <c r="A12" s="5">
        <v>3</v>
      </c>
      <c r="B12" s="5" t="s">
        <v>75</v>
      </c>
      <c r="C12" s="103">
        <v>1471.22</v>
      </c>
      <c r="D12" s="104"/>
    </row>
    <row r="13" spans="1:4" x14ac:dyDescent="0.2">
      <c r="A13" s="5">
        <v>4</v>
      </c>
      <c r="B13" s="5" t="s">
        <v>76</v>
      </c>
      <c r="C13" s="103" t="s">
        <v>102</v>
      </c>
      <c r="D13" s="104"/>
    </row>
    <row r="14" spans="1:4" x14ac:dyDescent="0.2">
      <c r="A14" s="5">
        <v>5</v>
      </c>
      <c r="B14" s="5" t="s">
        <v>77</v>
      </c>
      <c r="C14" s="105">
        <v>45292</v>
      </c>
      <c r="D14" s="104"/>
    </row>
    <row r="16" spans="1:4" x14ac:dyDescent="0.2">
      <c r="A16" s="106" t="s">
        <v>1</v>
      </c>
      <c r="B16" s="106"/>
      <c r="C16" s="106"/>
      <c r="D16" s="106"/>
    </row>
    <row r="18" spans="1:4" x14ac:dyDescent="0.2">
      <c r="A18" s="32">
        <v>1</v>
      </c>
      <c r="B18" s="98" t="s">
        <v>2</v>
      </c>
      <c r="C18" s="98"/>
      <c r="D18" s="32" t="s">
        <v>3</v>
      </c>
    </row>
    <row r="19" spans="1:4" x14ac:dyDescent="0.2">
      <c r="A19" s="34" t="s">
        <v>4</v>
      </c>
      <c r="B19" s="100" t="s">
        <v>5</v>
      </c>
      <c r="C19" s="100"/>
      <c r="D19" s="13">
        <v>1471.22</v>
      </c>
    </row>
    <row r="20" spans="1:4" x14ac:dyDescent="0.2">
      <c r="A20" s="34" t="s">
        <v>6</v>
      </c>
      <c r="B20" s="100" t="s">
        <v>7</v>
      </c>
      <c r="C20" s="100"/>
      <c r="D20" s="13">
        <f>D19*0.3</f>
        <v>441.36599999999999</v>
      </c>
    </row>
    <row r="21" spans="1:4" x14ac:dyDescent="0.2">
      <c r="A21" s="34" t="s">
        <v>8</v>
      </c>
      <c r="B21" s="100" t="s">
        <v>9</v>
      </c>
      <c r="C21" s="100"/>
      <c r="D21" s="13"/>
    </row>
    <row r="22" spans="1:4" x14ac:dyDescent="0.2">
      <c r="A22" s="34" t="s">
        <v>10</v>
      </c>
      <c r="B22" s="100" t="s">
        <v>11</v>
      </c>
      <c r="C22" s="100"/>
      <c r="D22" s="13"/>
    </row>
    <row r="23" spans="1:4" x14ac:dyDescent="0.2">
      <c r="A23" s="34" t="s">
        <v>12</v>
      </c>
      <c r="B23" s="100" t="s">
        <v>13</v>
      </c>
      <c r="C23" s="100"/>
      <c r="D23" s="13"/>
    </row>
    <row r="24" spans="1:4" x14ac:dyDescent="0.2">
      <c r="A24" s="34" t="s">
        <v>31</v>
      </c>
      <c r="B24" s="100" t="s">
        <v>114</v>
      </c>
      <c r="C24" s="100"/>
      <c r="D24" s="13">
        <v>0</v>
      </c>
    </row>
    <row r="25" spans="1:4" x14ac:dyDescent="0.2">
      <c r="A25" s="34" t="s">
        <v>14</v>
      </c>
      <c r="B25" s="100" t="s">
        <v>15</v>
      </c>
      <c r="C25" s="100"/>
      <c r="D25" s="13"/>
    </row>
    <row r="26" spans="1:4" x14ac:dyDescent="0.2">
      <c r="A26" s="98" t="s">
        <v>16</v>
      </c>
      <c r="B26" s="98"/>
      <c r="C26" s="98"/>
      <c r="D26" s="18">
        <f>SUM(D19:D25)</f>
        <v>1912.586</v>
      </c>
    </row>
    <row r="29" spans="1:4" x14ac:dyDescent="0.2">
      <c r="A29" s="99" t="s">
        <v>17</v>
      </c>
      <c r="B29" s="99"/>
      <c r="C29" s="99"/>
      <c r="D29" s="99"/>
    </row>
    <row r="30" spans="1:4" x14ac:dyDescent="0.2">
      <c r="A30" s="3"/>
    </row>
    <row r="31" spans="1:4" x14ac:dyDescent="0.2">
      <c r="A31" s="96" t="s">
        <v>18</v>
      </c>
      <c r="B31" s="96"/>
      <c r="C31" s="96"/>
      <c r="D31" s="96"/>
    </row>
    <row r="33" spans="1:4" x14ac:dyDescent="0.2">
      <c r="A33" s="32" t="s">
        <v>19</v>
      </c>
      <c r="B33" s="98" t="s">
        <v>20</v>
      </c>
      <c r="C33" s="98"/>
      <c r="D33" s="32" t="s">
        <v>3</v>
      </c>
    </row>
    <row r="34" spans="1:4" x14ac:dyDescent="0.2">
      <c r="A34" s="34" t="s">
        <v>4</v>
      </c>
      <c r="B34" s="31" t="s">
        <v>21</v>
      </c>
      <c r="C34" s="12">
        <f>TRUNC(1/12,4)</f>
        <v>8.3299999999999999E-2</v>
      </c>
      <c r="D34" s="13">
        <f>TRUNC($D$26*C34,2)</f>
        <v>159.31</v>
      </c>
    </row>
    <row r="35" spans="1:4" x14ac:dyDescent="0.2">
      <c r="A35" s="34" t="s">
        <v>6</v>
      </c>
      <c r="B35" s="31" t="s">
        <v>117</v>
      </c>
      <c r="C35" s="12">
        <f>TRUNC(((1)/12),4)</f>
        <v>8.3299999999999999E-2</v>
      </c>
      <c r="D35" s="13">
        <f>TRUNC($D$26*C35,2)</f>
        <v>159.31</v>
      </c>
    </row>
    <row r="36" spans="1:4" x14ac:dyDescent="0.2">
      <c r="A36" s="34" t="s">
        <v>8</v>
      </c>
      <c r="B36" s="31" t="s">
        <v>118</v>
      </c>
      <c r="C36" s="36">
        <f>TRUNC(((51%)/12),4)</f>
        <v>4.2500000000000003E-2</v>
      </c>
      <c r="D36" s="13">
        <f>TRUNC($D$19*C36,2)</f>
        <v>62.52</v>
      </c>
    </row>
    <row r="37" spans="1:4" x14ac:dyDescent="0.2">
      <c r="A37" s="98" t="s">
        <v>16</v>
      </c>
      <c r="B37" s="98"/>
      <c r="C37" s="26">
        <f>SUM(C34:C36)</f>
        <v>0.20910000000000001</v>
      </c>
      <c r="D37" s="17">
        <f>SUM(D34:D36)</f>
        <v>381.14</v>
      </c>
    </row>
    <row r="40" spans="1:4" x14ac:dyDescent="0.2">
      <c r="A40" s="112" t="s">
        <v>22</v>
      </c>
      <c r="B40" s="112"/>
      <c r="C40" s="112"/>
      <c r="D40" s="112"/>
    </row>
    <row r="42" spans="1:4" x14ac:dyDescent="0.2">
      <c r="A42" s="32" t="s">
        <v>23</v>
      </c>
      <c r="B42" s="32" t="s">
        <v>24</v>
      </c>
      <c r="C42" s="32" t="s">
        <v>25</v>
      </c>
      <c r="D42" s="32" t="s">
        <v>3</v>
      </c>
    </row>
    <row r="43" spans="1:4" x14ac:dyDescent="0.2">
      <c r="A43" s="34" t="s">
        <v>4</v>
      </c>
      <c r="B43" s="31" t="s">
        <v>26</v>
      </c>
      <c r="C43" s="9">
        <v>0.2</v>
      </c>
      <c r="D43" s="13">
        <f>TRUNC(($D$26+$D$37)*C43,2)</f>
        <v>458.74</v>
      </c>
    </row>
    <row r="44" spans="1:4" x14ac:dyDescent="0.2">
      <c r="A44" s="34" t="s">
        <v>6</v>
      </c>
      <c r="B44" s="31" t="s">
        <v>27</v>
      </c>
      <c r="C44" s="9">
        <v>2.5000000000000001E-2</v>
      </c>
      <c r="D44" s="13">
        <f t="shared" ref="D44:D50" si="0">TRUNC(($D$26+$D$37)*C44,2)</f>
        <v>57.34</v>
      </c>
    </row>
    <row r="45" spans="1:4" x14ac:dyDescent="0.2">
      <c r="A45" s="34" t="s">
        <v>8</v>
      </c>
      <c r="B45" s="31" t="s">
        <v>28</v>
      </c>
      <c r="C45" s="16">
        <v>0.03</v>
      </c>
      <c r="D45" s="13">
        <f t="shared" si="0"/>
        <v>68.81</v>
      </c>
    </row>
    <row r="46" spans="1:4" x14ac:dyDescent="0.2">
      <c r="A46" s="34" t="s">
        <v>10</v>
      </c>
      <c r="B46" s="31" t="s">
        <v>29</v>
      </c>
      <c r="C46" s="9">
        <v>1.4999999999999999E-2</v>
      </c>
      <c r="D46" s="13">
        <f t="shared" si="0"/>
        <v>34.4</v>
      </c>
    </row>
    <row r="47" spans="1:4" x14ac:dyDescent="0.2">
      <c r="A47" s="34" t="s">
        <v>12</v>
      </c>
      <c r="B47" s="31" t="s">
        <v>30</v>
      </c>
      <c r="C47" s="9">
        <v>0.01</v>
      </c>
      <c r="D47" s="13">
        <f t="shared" si="0"/>
        <v>22.93</v>
      </c>
    </row>
    <row r="48" spans="1:4" x14ac:dyDescent="0.2">
      <c r="A48" s="34" t="s">
        <v>31</v>
      </c>
      <c r="B48" s="31" t="s">
        <v>32</v>
      </c>
      <c r="C48" s="9">
        <v>6.0000000000000001E-3</v>
      </c>
      <c r="D48" s="13">
        <f t="shared" si="0"/>
        <v>13.76</v>
      </c>
    </row>
    <row r="49" spans="1:4" x14ac:dyDescent="0.2">
      <c r="A49" s="34" t="s">
        <v>14</v>
      </c>
      <c r="B49" s="31" t="s">
        <v>33</v>
      </c>
      <c r="C49" s="9">
        <v>2E-3</v>
      </c>
      <c r="D49" s="13">
        <f t="shared" si="0"/>
        <v>4.58</v>
      </c>
    </row>
    <row r="50" spans="1:4" x14ac:dyDescent="0.2">
      <c r="A50" s="34" t="s">
        <v>34</v>
      </c>
      <c r="B50" s="31" t="s">
        <v>35</v>
      </c>
      <c r="C50" s="9">
        <v>0.08</v>
      </c>
      <c r="D50" s="13">
        <f t="shared" si="0"/>
        <v>183.49</v>
      </c>
    </row>
    <row r="51" spans="1:4" x14ac:dyDescent="0.2">
      <c r="A51" s="98" t="s">
        <v>36</v>
      </c>
      <c r="B51" s="98"/>
      <c r="C51" s="15">
        <f>SUM(C43:C50)</f>
        <v>0.36800000000000005</v>
      </c>
      <c r="D51" s="17">
        <f>SUM(D43:D50)</f>
        <v>844.05000000000007</v>
      </c>
    </row>
    <row r="54" spans="1:4" x14ac:dyDescent="0.2">
      <c r="A54" s="96" t="s">
        <v>37</v>
      </c>
      <c r="B54" s="96"/>
      <c r="C54" s="96"/>
      <c r="D54" s="96"/>
    </row>
    <row r="56" spans="1:4" x14ac:dyDescent="0.2">
      <c r="A56" s="32" t="s">
        <v>38</v>
      </c>
      <c r="B56" s="97" t="s">
        <v>39</v>
      </c>
      <c r="C56" s="97"/>
      <c r="D56" s="32" t="s">
        <v>3</v>
      </c>
    </row>
    <row r="57" spans="1:4" x14ac:dyDescent="0.2">
      <c r="A57" s="34" t="s">
        <v>4</v>
      </c>
      <c r="B57" s="100" t="s">
        <v>40</v>
      </c>
      <c r="C57" s="100"/>
      <c r="D57" s="13">
        <f>(22*2*3.92)-(D19*0.06)</f>
        <v>84.206799999999987</v>
      </c>
    </row>
    <row r="58" spans="1:4" x14ac:dyDescent="0.2">
      <c r="A58" s="34" t="s">
        <v>6</v>
      </c>
      <c r="B58" s="100" t="s">
        <v>41</v>
      </c>
      <c r="C58" s="100"/>
      <c r="D58" s="13">
        <f>16.59*22*0.85</f>
        <v>310.233</v>
      </c>
    </row>
    <row r="59" spans="1:4" x14ac:dyDescent="0.2">
      <c r="A59" s="34" t="s">
        <v>8</v>
      </c>
      <c r="B59" s="100" t="s">
        <v>110</v>
      </c>
      <c r="C59" s="100"/>
      <c r="D59" s="13"/>
    </row>
    <row r="60" spans="1:4" x14ac:dyDescent="0.2">
      <c r="A60" s="34" t="s">
        <v>10</v>
      </c>
      <c r="B60" s="100" t="s">
        <v>104</v>
      </c>
      <c r="C60" s="100"/>
      <c r="D60" s="13">
        <v>8.5</v>
      </c>
    </row>
    <row r="61" spans="1:4" x14ac:dyDescent="0.2">
      <c r="A61" s="34" t="s">
        <v>12</v>
      </c>
      <c r="B61" s="100" t="s">
        <v>105</v>
      </c>
      <c r="C61" s="100"/>
      <c r="D61" s="13">
        <v>3.5</v>
      </c>
    </row>
    <row r="62" spans="1:4" x14ac:dyDescent="0.2">
      <c r="A62" s="34" t="s">
        <v>31</v>
      </c>
      <c r="B62" s="100" t="s">
        <v>111</v>
      </c>
      <c r="C62" s="100"/>
      <c r="D62" s="13"/>
    </row>
    <row r="63" spans="1:4" x14ac:dyDescent="0.2">
      <c r="A63" s="41" t="s">
        <v>14</v>
      </c>
      <c r="B63" s="100" t="s">
        <v>179</v>
      </c>
      <c r="C63" s="100"/>
      <c r="D63" s="13">
        <f>(13.04*8)/12</f>
        <v>8.6933333333333334</v>
      </c>
    </row>
    <row r="64" spans="1:4" x14ac:dyDescent="0.2">
      <c r="A64" s="93" t="s">
        <v>34</v>
      </c>
      <c r="B64" s="100" t="s">
        <v>207</v>
      </c>
      <c r="C64" s="100"/>
      <c r="D64" s="13">
        <f>D19*0.22*(21/24)</f>
        <v>283.20985000000002</v>
      </c>
    </row>
    <row r="65" spans="1:4" x14ac:dyDescent="0.2">
      <c r="A65" s="93" t="s">
        <v>206</v>
      </c>
      <c r="B65" s="100" t="s">
        <v>209</v>
      </c>
      <c r="C65" s="100"/>
      <c r="D65" s="13">
        <f>233.73*(2/3)</f>
        <v>155.82</v>
      </c>
    </row>
    <row r="66" spans="1:4" x14ac:dyDescent="0.2">
      <c r="A66" s="98" t="s">
        <v>16</v>
      </c>
      <c r="B66" s="98"/>
      <c r="C66" s="98"/>
      <c r="D66" s="17">
        <f>SUM(D57:D65)</f>
        <v>854.16298333333339</v>
      </c>
    </row>
    <row r="69" spans="1:4" x14ac:dyDescent="0.2">
      <c r="A69" s="96" t="s">
        <v>42</v>
      </c>
      <c r="B69" s="96"/>
      <c r="C69" s="96"/>
      <c r="D69" s="96"/>
    </row>
    <row r="71" spans="1:4" x14ac:dyDescent="0.2">
      <c r="A71" s="32">
        <v>2</v>
      </c>
      <c r="B71" s="97" t="s">
        <v>43</v>
      </c>
      <c r="C71" s="97"/>
      <c r="D71" s="32" t="s">
        <v>3</v>
      </c>
    </row>
    <row r="72" spans="1:4" x14ac:dyDescent="0.2">
      <c r="A72" s="34" t="s">
        <v>19</v>
      </c>
      <c r="B72" s="100" t="s">
        <v>20</v>
      </c>
      <c r="C72" s="100"/>
      <c r="D72" s="14">
        <f>D37</f>
        <v>381.14</v>
      </c>
    </row>
    <row r="73" spans="1:4" x14ac:dyDescent="0.2">
      <c r="A73" s="34" t="s">
        <v>23</v>
      </c>
      <c r="B73" s="100" t="s">
        <v>24</v>
      </c>
      <c r="C73" s="100"/>
      <c r="D73" s="14">
        <f>D51</f>
        <v>844.05000000000007</v>
      </c>
    </row>
    <row r="74" spans="1:4" x14ac:dyDescent="0.2">
      <c r="A74" s="34" t="s">
        <v>38</v>
      </c>
      <c r="B74" s="100" t="s">
        <v>39</v>
      </c>
      <c r="C74" s="100"/>
      <c r="D74" s="14">
        <f>D66</f>
        <v>854.16298333333339</v>
      </c>
    </row>
    <row r="75" spans="1:4" x14ac:dyDescent="0.2">
      <c r="A75" s="98" t="s">
        <v>16</v>
      </c>
      <c r="B75" s="98"/>
      <c r="C75" s="98"/>
      <c r="D75" s="17">
        <f>SUM(D72:D74)</f>
        <v>2079.3529833333332</v>
      </c>
    </row>
    <row r="76" spans="1:4" x14ac:dyDescent="0.2">
      <c r="A76" s="4"/>
    </row>
    <row r="78" spans="1:4" x14ac:dyDescent="0.2">
      <c r="A78" s="99" t="s">
        <v>44</v>
      </c>
      <c r="B78" s="99"/>
      <c r="C78" s="99"/>
      <c r="D78" s="99"/>
    </row>
    <row r="79" spans="1:4" ht="12.75" customHeight="1" x14ac:dyDescent="0.2"/>
    <row r="80" spans="1:4" x14ac:dyDescent="0.2">
      <c r="A80" s="32">
        <v>3</v>
      </c>
      <c r="B80" s="97" t="s">
        <v>45</v>
      </c>
      <c r="C80" s="97"/>
      <c r="D80" s="32" t="s">
        <v>3</v>
      </c>
    </row>
    <row r="81" spans="1:4" x14ac:dyDescent="0.2">
      <c r="A81" s="34" t="s">
        <v>4</v>
      </c>
      <c r="B81" s="10" t="s">
        <v>46</v>
      </c>
      <c r="C81" s="9">
        <f>TRUNC(((1/12)*5%),4)</f>
        <v>4.1000000000000003E-3</v>
      </c>
      <c r="D81" s="13">
        <f>TRUNC($D$26*C81,2)</f>
        <v>7.84</v>
      </c>
    </row>
    <row r="82" spans="1:4" x14ac:dyDescent="0.2">
      <c r="A82" s="34" t="s">
        <v>6</v>
      </c>
      <c r="B82" s="10" t="s">
        <v>47</v>
      </c>
      <c r="C82" s="9">
        <v>0.08</v>
      </c>
      <c r="D82" s="13">
        <f>TRUNC(D81*C82,2)</f>
        <v>0.62</v>
      </c>
    </row>
    <row r="83" spans="1:4" x14ac:dyDescent="0.2">
      <c r="A83" s="34" t="s">
        <v>8</v>
      </c>
      <c r="B83" s="10" t="s">
        <v>48</v>
      </c>
      <c r="C83" s="9">
        <f>TRUNC(8%*5%*40%,4)</f>
        <v>1.6000000000000001E-3</v>
      </c>
      <c r="D83" s="13">
        <f>TRUNC($D$26*C83,2)</f>
        <v>3.06</v>
      </c>
    </row>
    <row r="84" spans="1:4" x14ac:dyDescent="0.2">
      <c r="A84" s="34" t="s">
        <v>10</v>
      </c>
      <c r="B84" s="10" t="s">
        <v>49</v>
      </c>
      <c r="C84" s="9">
        <f>TRUNC(((7/30)/12)*95%,4)</f>
        <v>1.84E-2</v>
      </c>
      <c r="D84" s="13">
        <f>TRUNC($D$26*C84,2)</f>
        <v>35.19</v>
      </c>
    </row>
    <row r="85" spans="1:4" ht="25.5" x14ac:dyDescent="0.2">
      <c r="A85" s="34" t="s">
        <v>12</v>
      </c>
      <c r="B85" s="10" t="s">
        <v>94</v>
      </c>
      <c r="C85" s="9">
        <f>C51</f>
        <v>0.36800000000000005</v>
      </c>
      <c r="D85" s="13">
        <f>TRUNC(D84*C85,2)</f>
        <v>12.94</v>
      </c>
    </row>
    <row r="86" spans="1:4" x14ac:dyDescent="0.2">
      <c r="A86" s="34" t="s">
        <v>31</v>
      </c>
      <c r="B86" s="10" t="s">
        <v>50</v>
      </c>
      <c r="C86" s="9">
        <f>TRUNC(8%*95%*40%,4)</f>
        <v>3.04E-2</v>
      </c>
      <c r="D86" s="13">
        <f t="shared" ref="D86" si="1">TRUNC($D$26*C86,2)</f>
        <v>58.14</v>
      </c>
    </row>
    <row r="87" spans="1:4" x14ac:dyDescent="0.2">
      <c r="A87" s="101" t="s">
        <v>16</v>
      </c>
      <c r="B87" s="110"/>
      <c r="C87" s="102"/>
      <c r="D87" s="17">
        <f>SUM(D81:D86)</f>
        <v>117.78999999999999</v>
      </c>
    </row>
    <row r="90" spans="1:4" x14ac:dyDescent="0.2">
      <c r="A90" s="99" t="s">
        <v>51</v>
      </c>
      <c r="B90" s="99"/>
      <c r="C90" s="99"/>
      <c r="D90" s="99"/>
    </row>
    <row r="93" spans="1:4" x14ac:dyDescent="0.2">
      <c r="A93" s="96" t="s">
        <v>78</v>
      </c>
      <c r="B93" s="96"/>
      <c r="C93" s="96"/>
      <c r="D93" s="96"/>
    </row>
    <row r="94" spans="1:4" x14ac:dyDescent="0.2">
      <c r="A94" s="3"/>
    </row>
    <row r="95" spans="1:4" x14ac:dyDescent="0.2">
      <c r="A95" s="32" t="s">
        <v>52</v>
      </c>
      <c r="B95" s="97" t="s">
        <v>79</v>
      </c>
      <c r="C95" s="97"/>
      <c r="D95" s="32" t="s">
        <v>3</v>
      </c>
    </row>
    <row r="96" spans="1:4" x14ac:dyDescent="0.2">
      <c r="A96" s="34" t="s">
        <v>4</v>
      </c>
      <c r="B96" s="31" t="s">
        <v>80</v>
      </c>
      <c r="C96" s="9">
        <f>TRUNC(((1+1/3)/12)/12,4)</f>
        <v>9.1999999999999998E-3</v>
      </c>
      <c r="D96" s="13">
        <f t="shared" ref="D96:D101" si="2">TRUNC(($D$26+$D$75+$D$87)*C96,2)</f>
        <v>37.799999999999997</v>
      </c>
    </row>
    <row r="97" spans="1:4" x14ac:dyDescent="0.2">
      <c r="A97" s="34" t="s">
        <v>6</v>
      </c>
      <c r="B97" s="31" t="s">
        <v>81</v>
      </c>
      <c r="C97" s="9">
        <f>TRUNC(((2/30)/12),4)</f>
        <v>5.4999999999999997E-3</v>
      </c>
      <c r="D97" s="13">
        <f t="shared" si="2"/>
        <v>22.6</v>
      </c>
    </row>
    <row r="98" spans="1:4" x14ac:dyDescent="0.2">
      <c r="A98" s="34" t="s">
        <v>8</v>
      </c>
      <c r="B98" s="31" t="s">
        <v>82</v>
      </c>
      <c r="C98" s="9">
        <f>TRUNC(((5/30)/12)*2%,4)</f>
        <v>2.0000000000000001E-4</v>
      </c>
      <c r="D98" s="13">
        <f t="shared" si="2"/>
        <v>0.82</v>
      </c>
    </row>
    <row r="99" spans="1:4" x14ac:dyDescent="0.2">
      <c r="A99" s="34" t="s">
        <v>10</v>
      </c>
      <c r="B99" s="31" t="s">
        <v>83</v>
      </c>
      <c r="C99" s="9">
        <f>TRUNC(((15/30)/12)*8%,4)</f>
        <v>3.3E-3</v>
      </c>
      <c r="D99" s="13">
        <f t="shared" si="2"/>
        <v>13.56</v>
      </c>
    </row>
    <row r="100" spans="1:4" x14ac:dyDescent="0.2">
      <c r="A100" s="34" t="s">
        <v>12</v>
      </c>
      <c r="B100" s="31" t="s">
        <v>84</v>
      </c>
      <c r="C100" s="9">
        <f>((1+1/3)/12)*3%*(4/12)</f>
        <v>1.1111111111111109E-3</v>
      </c>
      <c r="D100" s="13">
        <f t="shared" si="2"/>
        <v>4.5599999999999996</v>
      </c>
    </row>
    <row r="101" spans="1:4" x14ac:dyDescent="0.2">
      <c r="A101" s="34" t="s">
        <v>31</v>
      </c>
      <c r="B101" s="31" t="s">
        <v>85</v>
      </c>
      <c r="C101" s="9"/>
      <c r="D101" s="13">
        <f t="shared" si="2"/>
        <v>0</v>
      </c>
    </row>
    <row r="102" spans="1:4" x14ac:dyDescent="0.2">
      <c r="A102" s="98" t="s">
        <v>36</v>
      </c>
      <c r="B102" s="98"/>
      <c r="C102" s="98"/>
      <c r="D102" s="17">
        <f>SUM(D96:D101)</f>
        <v>79.34</v>
      </c>
    </row>
    <row r="105" spans="1:4" x14ac:dyDescent="0.2">
      <c r="A105" s="96" t="s">
        <v>86</v>
      </c>
      <c r="B105" s="96"/>
      <c r="C105" s="96"/>
      <c r="D105" s="96"/>
    </row>
    <row r="106" spans="1:4" x14ac:dyDescent="0.2">
      <c r="A106" s="3"/>
    </row>
    <row r="107" spans="1:4" x14ac:dyDescent="0.2">
      <c r="A107" s="32" t="s">
        <v>53</v>
      </c>
      <c r="B107" s="97" t="s">
        <v>87</v>
      </c>
      <c r="C107" s="97"/>
      <c r="D107" s="32" t="s">
        <v>3</v>
      </c>
    </row>
    <row r="108" spans="1:4" x14ac:dyDescent="0.2">
      <c r="A108" s="34" t="s">
        <v>4</v>
      </c>
      <c r="B108" s="107" t="s">
        <v>88</v>
      </c>
      <c r="C108" s="108"/>
      <c r="D108" s="13">
        <f>((D26+D75+D87)/220)*22*0</f>
        <v>0</v>
      </c>
    </row>
    <row r="109" spans="1:4" x14ac:dyDescent="0.2">
      <c r="A109" s="98" t="s">
        <v>16</v>
      </c>
      <c r="B109" s="98"/>
      <c r="C109" s="98"/>
      <c r="D109" s="17">
        <f>SUM(D108)</f>
        <v>0</v>
      </c>
    </row>
    <row r="112" spans="1:4" x14ac:dyDescent="0.2">
      <c r="A112" s="96" t="s">
        <v>54</v>
      </c>
      <c r="B112" s="96"/>
      <c r="C112" s="96"/>
      <c r="D112" s="96"/>
    </row>
    <row r="113" spans="1:4" x14ac:dyDescent="0.2">
      <c r="A113" s="3"/>
    </row>
    <row r="114" spans="1:4" x14ac:dyDescent="0.2">
      <c r="A114" s="32">
        <v>4</v>
      </c>
      <c r="B114" s="98" t="s">
        <v>55</v>
      </c>
      <c r="C114" s="98"/>
      <c r="D114" s="32" t="s">
        <v>3</v>
      </c>
    </row>
    <row r="115" spans="1:4" x14ac:dyDescent="0.2">
      <c r="A115" s="34" t="s">
        <v>52</v>
      </c>
      <c r="B115" s="100" t="s">
        <v>79</v>
      </c>
      <c r="C115" s="100"/>
      <c r="D115" s="14">
        <f>D102</f>
        <v>79.34</v>
      </c>
    </row>
    <row r="116" spans="1:4" x14ac:dyDescent="0.2">
      <c r="A116" s="34" t="s">
        <v>53</v>
      </c>
      <c r="B116" s="100" t="s">
        <v>87</v>
      </c>
      <c r="C116" s="100"/>
      <c r="D116" s="14">
        <f>D109</f>
        <v>0</v>
      </c>
    </row>
    <row r="117" spans="1:4" x14ac:dyDescent="0.2">
      <c r="A117" s="98" t="s">
        <v>16</v>
      </c>
      <c r="B117" s="98"/>
      <c r="C117" s="98"/>
      <c r="D117" s="17">
        <f>SUM(D115:D116)</f>
        <v>79.34</v>
      </c>
    </row>
    <row r="120" spans="1:4" x14ac:dyDescent="0.2">
      <c r="A120" s="99" t="s">
        <v>56</v>
      </c>
      <c r="B120" s="99"/>
      <c r="C120" s="99"/>
      <c r="D120" s="99"/>
    </row>
    <row r="122" spans="1:4" x14ac:dyDescent="0.2">
      <c r="A122" s="32">
        <v>5</v>
      </c>
      <c r="B122" s="109" t="s">
        <v>57</v>
      </c>
      <c r="C122" s="109"/>
      <c r="D122" s="32" t="s">
        <v>3</v>
      </c>
    </row>
    <row r="123" spans="1:4" x14ac:dyDescent="0.2">
      <c r="A123" s="34" t="s">
        <v>4</v>
      </c>
      <c r="B123" s="100" t="s">
        <v>58</v>
      </c>
      <c r="C123" s="100"/>
      <c r="D123" s="13">
        <v>151.96</v>
      </c>
    </row>
    <row r="124" spans="1:4" x14ac:dyDescent="0.2">
      <c r="A124" s="34" t="s">
        <v>6</v>
      </c>
      <c r="B124" s="100" t="s">
        <v>59</v>
      </c>
      <c r="C124" s="100"/>
      <c r="D124" s="13">
        <v>2.2599999999999998</v>
      </c>
    </row>
    <row r="125" spans="1:4" x14ac:dyDescent="0.2">
      <c r="A125" s="34" t="s">
        <v>8</v>
      </c>
      <c r="B125" s="100" t="s">
        <v>60</v>
      </c>
      <c r="C125" s="100"/>
      <c r="D125" s="13">
        <v>21.12</v>
      </c>
    </row>
    <row r="126" spans="1:4" x14ac:dyDescent="0.2">
      <c r="A126" s="34" t="s">
        <v>10</v>
      </c>
      <c r="B126" s="100" t="s">
        <v>180</v>
      </c>
      <c r="C126" s="100"/>
      <c r="D126" s="13">
        <v>93.59</v>
      </c>
    </row>
    <row r="127" spans="1:4" x14ac:dyDescent="0.2">
      <c r="A127" s="93" t="s">
        <v>12</v>
      </c>
      <c r="B127" s="100" t="s">
        <v>208</v>
      </c>
      <c r="C127" s="100"/>
      <c r="D127" s="13">
        <v>84</v>
      </c>
    </row>
    <row r="128" spans="1:4" x14ac:dyDescent="0.2">
      <c r="A128" s="98" t="s">
        <v>36</v>
      </c>
      <c r="B128" s="98"/>
      <c r="C128" s="98"/>
      <c r="D128" s="18">
        <f>SUM(D123:D127)</f>
        <v>352.93</v>
      </c>
    </row>
    <row r="131" spans="1:4" x14ac:dyDescent="0.2">
      <c r="A131" s="99" t="s">
        <v>61</v>
      </c>
      <c r="B131" s="99"/>
      <c r="C131" s="99"/>
      <c r="D131" s="99"/>
    </row>
    <row r="133" spans="1:4" x14ac:dyDescent="0.2">
      <c r="A133" s="32">
        <v>6</v>
      </c>
      <c r="B133" s="33" t="s">
        <v>62</v>
      </c>
      <c r="C133" s="32" t="s">
        <v>25</v>
      </c>
      <c r="D133" s="32" t="s">
        <v>3</v>
      </c>
    </row>
    <row r="134" spans="1:4" x14ac:dyDescent="0.2">
      <c r="A134" s="34" t="s">
        <v>4</v>
      </c>
      <c r="B134" s="31" t="s">
        <v>63</v>
      </c>
      <c r="C134" s="9">
        <v>0.06</v>
      </c>
      <c r="D134" s="14">
        <f>D154*C134</f>
        <v>272.51993900000002</v>
      </c>
    </row>
    <row r="135" spans="1:4" x14ac:dyDescent="0.2">
      <c r="A135" s="34" t="s">
        <v>6</v>
      </c>
      <c r="B135" s="31" t="s">
        <v>64</v>
      </c>
      <c r="C135" s="9">
        <v>6.7900000000000002E-2</v>
      </c>
      <c r="D135" s="13">
        <f>(D154+D134)*C135</f>
        <v>326.90583482643336</v>
      </c>
    </row>
    <row r="136" spans="1:4" x14ac:dyDescent="0.2">
      <c r="A136" s="34" t="s">
        <v>8</v>
      </c>
      <c r="B136" s="31" t="s">
        <v>65</v>
      </c>
      <c r="C136" s="12">
        <f>SUM(C137:C142)</f>
        <v>8.6499999999999994E-2</v>
      </c>
      <c r="D136" s="13">
        <f>(D154+D134+D135)*C136/(1-C136)</f>
        <v>486.84536562049243</v>
      </c>
    </row>
    <row r="137" spans="1:4" x14ac:dyDescent="0.2">
      <c r="A137" s="34"/>
      <c r="B137" s="31" t="s">
        <v>66</v>
      </c>
      <c r="C137" s="9"/>
      <c r="D137" s="14">
        <f>$D$156*C137</f>
        <v>0</v>
      </c>
    </row>
    <row r="138" spans="1:4" x14ac:dyDescent="0.2">
      <c r="A138" s="34"/>
      <c r="B138" s="31" t="s">
        <v>96</v>
      </c>
      <c r="C138" s="9">
        <v>6.4999999999999997E-3</v>
      </c>
      <c r="D138" s="14">
        <f t="shared" ref="D138:D142" si="3">$D$156*C138</f>
        <v>36.583755798071685</v>
      </c>
    </row>
    <row r="139" spans="1:4" x14ac:dyDescent="0.2">
      <c r="A139" s="34"/>
      <c r="B139" s="31" t="s">
        <v>97</v>
      </c>
      <c r="C139" s="9">
        <v>0.03</v>
      </c>
      <c r="D139" s="14">
        <f t="shared" si="3"/>
        <v>168.8481036834078</v>
      </c>
    </row>
    <row r="140" spans="1:4" x14ac:dyDescent="0.2">
      <c r="A140" s="34"/>
      <c r="B140" s="31" t="s">
        <v>67</v>
      </c>
      <c r="C140" s="34"/>
      <c r="D140" s="14">
        <f t="shared" si="3"/>
        <v>0</v>
      </c>
    </row>
    <row r="141" spans="1:4" x14ac:dyDescent="0.2">
      <c r="A141" s="34"/>
      <c r="B141" s="31" t="s">
        <v>68</v>
      </c>
      <c r="C141" s="9"/>
      <c r="D141" s="14">
        <f t="shared" si="3"/>
        <v>0</v>
      </c>
    </row>
    <row r="142" spans="1:4" x14ac:dyDescent="0.2">
      <c r="A142" s="34"/>
      <c r="B142" s="31" t="s">
        <v>98</v>
      </c>
      <c r="C142" s="9">
        <v>0.05</v>
      </c>
      <c r="D142" s="14">
        <f t="shared" si="3"/>
        <v>281.41350613901301</v>
      </c>
    </row>
    <row r="143" spans="1:4" ht="13.5" x14ac:dyDescent="0.2">
      <c r="A143" s="101" t="s">
        <v>36</v>
      </c>
      <c r="B143" s="110"/>
      <c r="C143" s="19">
        <f>(1+C135)*(1+C134)/(1-C136)-1</f>
        <v>0.2391614668856048</v>
      </c>
      <c r="D143" s="17">
        <f>SUM(D134:D136)</f>
        <v>1086.2711394469259</v>
      </c>
    </row>
    <row r="146" spans="1:4" x14ac:dyDescent="0.2">
      <c r="A146" s="99" t="s">
        <v>69</v>
      </c>
      <c r="B146" s="99"/>
      <c r="C146" s="99"/>
      <c r="D146" s="99"/>
    </row>
    <row r="148" spans="1:4" x14ac:dyDescent="0.2">
      <c r="A148" s="32"/>
      <c r="B148" s="98" t="s">
        <v>70</v>
      </c>
      <c r="C148" s="98"/>
      <c r="D148" s="32" t="s">
        <v>3</v>
      </c>
    </row>
    <row r="149" spans="1:4" x14ac:dyDescent="0.2">
      <c r="A149" s="32" t="s">
        <v>4</v>
      </c>
      <c r="B149" s="100" t="s">
        <v>1</v>
      </c>
      <c r="C149" s="100"/>
      <c r="D149" s="20">
        <f>D26</f>
        <v>1912.586</v>
      </c>
    </row>
    <row r="150" spans="1:4" x14ac:dyDescent="0.2">
      <c r="A150" s="32" t="s">
        <v>6</v>
      </c>
      <c r="B150" s="100" t="s">
        <v>17</v>
      </c>
      <c r="C150" s="100"/>
      <c r="D150" s="20">
        <f>D75</f>
        <v>2079.3529833333332</v>
      </c>
    </row>
    <row r="151" spans="1:4" x14ac:dyDescent="0.2">
      <c r="A151" s="32" t="s">
        <v>8</v>
      </c>
      <c r="B151" s="100" t="s">
        <v>44</v>
      </c>
      <c r="C151" s="100"/>
      <c r="D151" s="20">
        <f>D87</f>
        <v>117.78999999999999</v>
      </c>
    </row>
    <row r="152" spans="1:4" x14ac:dyDescent="0.2">
      <c r="A152" s="32" t="s">
        <v>10</v>
      </c>
      <c r="B152" s="100" t="s">
        <v>51</v>
      </c>
      <c r="C152" s="100"/>
      <c r="D152" s="20">
        <f>D117</f>
        <v>79.34</v>
      </c>
    </row>
    <row r="153" spans="1:4" x14ac:dyDescent="0.2">
      <c r="A153" s="32" t="s">
        <v>12</v>
      </c>
      <c r="B153" s="100" t="s">
        <v>56</v>
      </c>
      <c r="C153" s="100"/>
      <c r="D153" s="20">
        <f>D128</f>
        <v>352.93</v>
      </c>
    </row>
    <row r="154" spans="1:4" x14ac:dyDescent="0.2">
      <c r="A154" s="98" t="s">
        <v>95</v>
      </c>
      <c r="B154" s="98"/>
      <c r="C154" s="98"/>
      <c r="D154" s="21">
        <f>SUM(D149:D153)</f>
        <v>4541.9989833333339</v>
      </c>
    </row>
    <row r="155" spans="1:4" x14ac:dyDescent="0.2">
      <c r="A155" s="32" t="s">
        <v>31</v>
      </c>
      <c r="B155" s="100" t="s">
        <v>71</v>
      </c>
      <c r="C155" s="100"/>
      <c r="D155" s="22">
        <f>D143</f>
        <v>1086.2711394469259</v>
      </c>
    </row>
    <row r="156" spans="1:4" x14ac:dyDescent="0.2">
      <c r="A156" s="98" t="s">
        <v>72</v>
      </c>
      <c r="B156" s="98"/>
      <c r="C156" s="98"/>
      <c r="D156" s="21">
        <f>SUM(D154:D155)</f>
        <v>5628.27012278026</v>
      </c>
    </row>
  </sheetData>
  <mergeCells count="80">
    <mergeCell ref="A154:C154"/>
    <mergeCell ref="B155:C155"/>
    <mergeCell ref="A156:C156"/>
    <mergeCell ref="B148:C148"/>
    <mergeCell ref="B149:C149"/>
    <mergeCell ref="B150:C150"/>
    <mergeCell ref="B151:C151"/>
    <mergeCell ref="B152:C152"/>
    <mergeCell ref="B153:C153"/>
    <mergeCell ref="A146:D146"/>
    <mergeCell ref="A109:C109"/>
    <mergeCell ref="A112:D112"/>
    <mergeCell ref="B114:C114"/>
    <mergeCell ref="B115:C115"/>
    <mergeCell ref="B116:C116"/>
    <mergeCell ref="A117:C117"/>
    <mergeCell ref="A120:D120"/>
    <mergeCell ref="B122:C122"/>
    <mergeCell ref="A128:C128"/>
    <mergeCell ref="A131:D131"/>
    <mergeCell ref="A143:B143"/>
    <mergeCell ref="B123:C123"/>
    <mergeCell ref="B124:C124"/>
    <mergeCell ref="B125:C125"/>
    <mergeCell ref="B126:C126"/>
    <mergeCell ref="B108:C108"/>
    <mergeCell ref="B74:C74"/>
    <mergeCell ref="A75:C75"/>
    <mergeCell ref="A78:D78"/>
    <mergeCell ref="B80:C80"/>
    <mergeCell ref="A87:C87"/>
    <mergeCell ref="A90:D90"/>
    <mergeCell ref="A93:D93"/>
    <mergeCell ref="B95:C95"/>
    <mergeCell ref="A102:C102"/>
    <mergeCell ref="A105:D105"/>
    <mergeCell ref="B107:C107"/>
    <mergeCell ref="B73:C73"/>
    <mergeCell ref="B59:C59"/>
    <mergeCell ref="B60:C60"/>
    <mergeCell ref="B61:C61"/>
    <mergeCell ref="B62:C62"/>
    <mergeCell ref="A66:C66"/>
    <mergeCell ref="A69:D69"/>
    <mergeCell ref="B71:C71"/>
    <mergeCell ref="B72:C72"/>
    <mergeCell ref="B63:C63"/>
    <mergeCell ref="B64:C64"/>
    <mergeCell ref="B65:C65"/>
    <mergeCell ref="B21:C21"/>
    <mergeCell ref="B22:C22"/>
    <mergeCell ref="B23:C23"/>
    <mergeCell ref="B58:C58"/>
    <mergeCell ref="B25:C25"/>
    <mergeCell ref="A26:C26"/>
    <mergeCell ref="A29:D29"/>
    <mergeCell ref="A31:D31"/>
    <mergeCell ref="B33:C33"/>
    <mergeCell ref="A37:B37"/>
    <mergeCell ref="A40:D40"/>
    <mergeCell ref="A51:B51"/>
    <mergeCell ref="A54:D54"/>
    <mergeCell ref="B56:C56"/>
    <mergeCell ref="B57:C57"/>
    <mergeCell ref="B127:C127"/>
    <mergeCell ref="C10:D10"/>
    <mergeCell ref="A1:D1"/>
    <mergeCell ref="A3:D3"/>
    <mergeCell ref="A5:B5"/>
    <mergeCell ref="A6:B6"/>
    <mergeCell ref="A8:D8"/>
    <mergeCell ref="B24:C24"/>
    <mergeCell ref="C11:D11"/>
    <mergeCell ref="C12:D12"/>
    <mergeCell ref="C13:D13"/>
    <mergeCell ref="C14:D14"/>
    <mergeCell ref="A16:D16"/>
    <mergeCell ref="B18:C18"/>
    <mergeCell ref="B19:C19"/>
    <mergeCell ref="B20:C20"/>
  </mergeCells>
  <pageMargins left="0.511811024" right="0.511811024" top="0.78740157499999996" bottom="0.78740157499999996" header="0.31496062000000002" footer="0.31496062000000002"/>
  <pageSetup paperSize="9" scale="84"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56"/>
  <sheetViews>
    <sheetView topLeftCell="A4" zoomScale="115" zoomScaleNormal="115" workbookViewId="0">
      <selection activeCell="F15" sqref="F15:G15"/>
    </sheetView>
  </sheetViews>
  <sheetFormatPr defaultRowHeight="12.75" x14ac:dyDescent="0.2"/>
  <cols>
    <col min="1" max="1" width="9.140625" style="1"/>
    <col min="2" max="2" width="60.28515625" style="1" customWidth="1"/>
    <col min="3" max="3" width="18" style="1" customWidth="1"/>
    <col min="4" max="4" width="21.42578125" style="1" customWidth="1"/>
    <col min="5" max="5" width="15.140625" style="1" customWidth="1"/>
    <col min="6" max="16384" width="9.140625" style="1"/>
  </cols>
  <sheetData>
    <row r="1" spans="1:4" ht="15.75" x14ac:dyDescent="0.25">
      <c r="A1" s="111" t="s">
        <v>0</v>
      </c>
      <c r="B1" s="111"/>
      <c r="C1" s="111"/>
      <c r="D1" s="111"/>
    </row>
    <row r="2" spans="1:4" ht="15.75" x14ac:dyDescent="0.25">
      <c r="A2" s="24"/>
      <c r="B2" s="24"/>
      <c r="C2" s="24"/>
      <c r="D2" s="24"/>
    </row>
    <row r="3" spans="1:4" x14ac:dyDescent="0.2">
      <c r="A3" s="106" t="s">
        <v>89</v>
      </c>
      <c r="B3" s="106"/>
      <c r="C3" s="106"/>
      <c r="D3" s="106"/>
    </row>
    <row r="4" spans="1:4" x14ac:dyDescent="0.2">
      <c r="A4" s="2"/>
      <c r="B4" s="2"/>
      <c r="C4" s="2"/>
      <c r="D4" s="2"/>
    </row>
    <row r="5" spans="1:4" ht="38.25" x14ac:dyDescent="0.2">
      <c r="A5" s="113" t="s">
        <v>90</v>
      </c>
      <c r="B5" s="113"/>
      <c r="C5" s="34" t="s">
        <v>91</v>
      </c>
      <c r="D5" s="25" t="s">
        <v>92</v>
      </c>
    </row>
    <row r="6" spans="1:4" ht="25.5" customHeight="1" x14ac:dyDescent="0.2">
      <c r="A6" s="101" t="s">
        <v>119</v>
      </c>
      <c r="B6" s="102"/>
      <c r="C6" s="35" t="s">
        <v>100</v>
      </c>
      <c r="D6" s="35">
        <v>6</v>
      </c>
    </row>
    <row r="8" spans="1:4" x14ac:dyDescent="0.2">
      <c r="A8" s="106" t="s">
        <v>73</v>
      </c>
      <c r="B8" s="106"/>
      <c r="C8" s="106"/>
      <c r="D8" s="106"/>
    </row>
    <row r="9" spans="1:4" x14ac:dyDescent="0.2">
      <c r="A9" s="2"/>
      <c r="B9" s="2"/>
      <c r="C9" s="2"/>
      <c r="D9" s="2"/>
    </row>
    <row r="10" spans="1:4" x14ac:dyDescent="0.2">
      <c r="A10" s="5">
        <v>1</v>
      </c>
      <c r="B10" s="5" t="s">
        <v>74</v>
      </c>
      <c r="C10" s="103" t="s">
        <v>113</v>
      </c>
      <c r="D10" s="104"/>
    </row>
    <row r="11" spans="1:4" x14ac:dyDescent="0.2">
      <c r="A11" s="5">
        <v>2</v>
      </c>
      <c r="B11" s="5" t="s">
        <v>93</v>
      </c>
      <c r="C11" s="103">
        <v>517330</v>
      </c>
      <c r="D11" s="104"/>
    </row>
    <row r="12" spans="1:4" x14ac:dyDescent="0.2">
      <c r="A12" s="5">
        <v>3</v>
      </c>
      <c r="B12" s="5" t="s">
        <v>75</v>
      </c>
      <c r="C12" s="103">
        <v>1471.22</v>
      </c>
      <c r="D12" s="104"/>
    </row>
    <row r="13" spans="1:4" x14ac:dyDescent="0.2">
      <c r="A13" s="5">
        <v>4</v>
      </c>
      <c r="B13" s="5" t="s">
        <v>76</v>
      </c>
      <c r="C13" s="103" t="s">
        <v>102</v>
      </c>
      <c r="D13" s="104"/>
    </row>
    <row r="14" spans="1:4" x14ac:dyDescent="0.2">
      <c r="A14" s="5">
        <v>5</v>
      </c>
      <c r="B14" s="5" t="s">
        <v>77</v>
      </c>
      <c r="C14" s="105">
        <v>45292</v>
      </c>
      <c r="D14" s="104"/>
    </row>
    <row r="16" spans="1:4" x14ac:dyDescent="0.2">
      <c r="A16" s="106" t="s">
        <v>1</v>
      </c>
      <c r="B16" s="106"/>
      <c r="C16" s="106"/>
      <c r="D16" s="106"/>
    </row>
    <row r="18" spans="1:4" x14ac:dyDescent="0.2">
      <c r="A18" s="32">
        <v>1</v>
      </c>
      <c r="B18" s="98" t="s">
        <v>2</v>
      </c>
      <c r="C18" s="98"/>
      <c r="D18" s="32" t="s">
        <v>3</v>
      </c>
    </row>
    <row r="19" spans="1:4" x14ac:dyDescent="0.2">
      <c r="A19" s="34" t="s">
        <v>4</v>
      </c>
      <c r="B19" s="100" t="s">
        <v>5</v>
      </c>
      <c r="C19" s="100"/>
      <c r="D19" s="13">
        <v>1471.22</v>
      </c>
    </row>
    <row r="20" spans="1:4" x14ac:dyDescent="0.2">
      <c r="A20" s="34" t="s">
        <v>6</v>
      </c>
      <c r="B20" s="100" t="s">
        <v>7</v>
      </c>
      <c r="C20" s="100"/>
      <c r="D20" s="13">
        <f>D19*0.3</f>
        <v>441.36599999999999</v>
      </c>
    </row>
    <row r="21" spans="1:4" x14ac:dyDescent="0.2">
      <c r="A21" s="34" t="s">
        <v>8</v>
      </c>
      <c r="B21" s="100" t="s">
        <v>9</v>
      </c>
      <c r="C21" s="100"/>
      <c r="D21" s="13"/>
    </row>
    <row r="22" spans="1:4" x14ac:dyDescent="0.2">
      <c r="A22" s="34" t="s">
        <v>10</v>
      </c>
      <c r="B22" s="100" t="s">
        <v>11</v>
      </c>
      <c r="C22" s="100"/>
      <c r="D22" s="13">
        <f>8*15*((D19+D20)/220)*0.35</f>
        <v>365.13005454545447</v>
      </c>
    </row>
    <row r="23" spans="1:4" x14ac:dyDescent="0.2">
      <c r="A23" s="34" t="s">
        <v>12</v>
      </c>
      <c r="B23" s="100" t="s">
        <v>13</v>
      </c>
      <c r="C23" s="100"/>
      <c r="D23" s="13">
        <f>15*((D19+D20)/220)</f>
        <v>130.40359090909089</v>
      </c>
    </row>
    <row r="24" spans="1:4" x14ac:dyDescent="0.2">
      <c r="A24" s="34" t="s">
        <v>31</v>
      </c>
      <c r="B24" s="100" t="s">
        <v>114</v>
      </c>
      <c r="C24" s="100"/>
      <c r="D24" s="13">
        <v>0</v>
      </c>
    </row>
    <row r="25" spans="1:4" x14ac:dyDescent="0.2">
      <c r="A25" s="34" t="s">
        <v>14</v>
      </c>
      <c r="B25" s="100" t="s">
        <v>15</v>
      </c>
      <c r="C25" s="100"/>
      <c r="D25" s="13"/>
    </row>
    <row r="26" spans="1:4" x14ac:dyDescent="0.2">
      <c r="A26" s="98" t="s">
        <v>16</v>
      </c>
      <c r="B26" s="98"/>
      <c r="C26" s="98"/>
      <c r="D26" s="18">
        <f>SUM(D19:D25)</f>
        <v>2408.1196454545452</v>
      </c>
    </row>
    <row r="29" spans="1:4" x14ac:dyDescent="0.2">
      <c r="A29" s="99" t="s">
        <v>17</v>
      </c>
      <c r="B29" s="99"/>
      <c r="C29" s="99"/>
      <c r="D29" s="99"/>
    </row>
    <row r="30" spans="1:4" x14ac:dyDescent="0.2">
      <c r="A30" s="3"/>
    </row>
    <row r="31" spans="1:4" x14ac:dyDescent="0.2">
      <c r="A31" s="96" t="s">
        <v>18</v>
      </c>
      <c r="B31" s="96"/>
      <c r="C31" s="96"/>
      <c r="D31" s="96"/>
    </row>
    <row r="33" spans="1:4" x14ac:dyDescent="0.2">
      <c r="A33" s="32" t="s">
        <v>19</v>
      </c>
      <c r="B33" s="98" t="s">
        <v>20</v>
      </c>
      <c r="C33" s="98"/>
      <c r="D33" s="32" t="s">
        <v>3</v>
      </c>
    </row>
    <row r="34" spans="1:4" x14ac:dyDescent="0.2">
      <c r="A34" s="34" t="s">
        <v>4</v>
      </c>
      <c r="B34" s="31" t="s">
        <v>21</v>
      </c>
      <c r="C34" s="12">
        <f>TRUNC(1/12,4)</f>
        <v>8.3299999999999999E-2</v>
      </c>
      <c r="D34" s="13">
        <f>TRUNC($D$26*C34,2)</f>
        <v>200.59</v>
      </c>
    </row>
    <row r="35" spans="1:4" x14ac:dyDescent="0.2">
      <c r="A35" s="34" t="s">
        <v>6</v>
      </c>
      <c r="B35" s="31" t="s">
        <v>117</v>
      </c>
      <c r="C35" s="12">
        <f>TRUNC(((1)/12),4)</f>
        <v>8.3299999999999999E-2</v>
      </c>
      <c r="D35" s="13">
        <f>TRUNC($D$26*C35,2)</f>
        <v>200.59</v>
      </c>
    </row>
    <row r="36" spans="1:4" x14ac:dyDescent="0.2">
      <c r="A36" s="34" t="s">
        <v>8</v>
      </c>
      <c r="B36" s="31" t="s">
        <v>118</v>
      </c>
      <c r="C36" s="36">
        <f>TRUNC(((1/3)/12),4)</f>
        <v>2.7699999999999999E-2</v>
      </c>
      <c r="D36" s="13">
        <f>TRUNC($D$26*C36,2)</f>
        <v>66.7</v>
      </c>
    </row>
    <row r="37" spans="1:4" x14ac:dyDescent="0.2">
      <c r="A37" s="98" t="s">
        <v>16</v>
      </c>
      <c r="B37" s="98"/>
      <c r="C37" s="26">
        <f>SUM(C34:C36)</f>
        <v>0.1943</v>
      </c>
      <c r="D37" s="17">
        <f>SUM(D34:D36)</f>
        <v>467.88</v>
      </c>
    </row>
    <row r="40" spans="1:4" x14ac:dyDescent="0.2">
      <c r="A40" s="112" t="s">
        <v>22</v>
      </c>
      <c r="B40" s="112"/>
      <c r="C40" s="112"/>
      <c r="D40" s="112"/>
    </row>
    <row r="42" spans="1:4" x14ac:dyDescent="0.2">
      <c r="A42" s="32" t="s">
        <v>23</v>
      </c>
      <c r="B42" s="32" t="s">
        <v>24</v>
      </c>
      <c r="C42" s="32" t="s">
        <v>25</v>
      </c>
      <c r="D42" s="32" t="s">
        <v>3</v>
      </c>
    </row>
    <row r="43" spans="1:4" x14ac:dyDescent="0.2">
      <c r="A43" s="34" t="s">
        <v>4</v>
      </c>
      <c r="B43" s="31" t="s">
        <v>26</v>
      </c>
      <c r="C43" s="9">
        <v>0.2</v>
      </c>
      <c r="D43" s="13">
        <f>TRUNC(($D$26+$D$37)*C43,2)</f>
        <v>575.19000000000005</v>
      </c>
    </row>
    <row r="44" spans="1:4" x14ac:dyDescent="0.2">
      <c r="A44" s="34" t="s">
        <v>6</v>
      </c>
      <c r="B44" s="31" t="s">
        <v>27</v>
      </c>
      <c r="C44" s="9">
        <v>2.5000000000000001E-2</v>
      </c>
      <c r="D44" s="13">
        <f t="shared" ref="D44:D50" si="0">TRUNC(($D$26+$D$37)*C44,2)</f>
        <v>71.89</v>
      </c>
    </row>
    <row r="45" spans="1:4" x14ac:dyDescent="0.2">
      <c r="A45" s="34" t="s">
        <v>8</v>
      </c>
      <c r="B45" s="31" t="s">
        <v>28</v>
      </c>
      <c r="C45" s="16">
        <v>0.03</v>
      </c>
      <c r="D45" s="13">
        <f t="shared" si="0"/>
        <v>86.27</v>
      </c>
    </row>
    <row r="46" spans="1:4" x14ac:dyDescent="0.2">
      <c r="A46" s="34" t="s">
        <v>10</v>
      </c>
      <c r="B46" s="31" t="s">
        <v>29</v>
      </c>
      <c r="C46" s="9">
        <v>1.4999999999999999E-2</v>
      </c>
      <c r="D46" s="13">
        <f t="shared" si="0"/>
        <v>43.13</v>
      </c>
    </row>
    <row r="47" spans="1:4" x14ac:dyDescent="0.2">
      <c r="A47" s="34" t="s">
        <v>12</v>
      </c>
      <c r="B47" s="31" t="s">
        <v>30</v>
      </c>
      <c r="C47" s="9">
        <v>0.01</v>
      </c>
      <c r="D47" s="13">
        <f t="shared" si="0"/>
        <v>28.75</v>
      </c>
    </row>
    <row r="48" spans="1:4" x14ac:dyDescent="0.2">
      <c r="A48" s="34" t="s">
        <v>31</v>
      </c>
      <c r="B48" s="31" t="s">
        <v>32</v>
      </c>
      <c r="C48" s="9">
        <v>6.0000000000000001E-3</v>
      </c>
      <c r="D48" s="13">
        <f t="shared" si="0"/>
        <v>17.25</v>
      </c>
    </row>
    <row r="49" spans="1:4" x14ac:dyDescent="0.2">
      <c r="A49" s="34" t="s">
        <v>14</v>
      </c>
      <c r="B49" s="31" t="s">
        <v>33</v>
      </c>
      <c r="C49" s="9">
        <v>2E-3</v>
      </c>
      <c r="D49" s="13">
        <f t="shared" si="0"/>
        <v>5.75</v>
      </c>
    </row>
    <row r="50" spans="1:4" x14ac:dyDescent="0.2">
      <c r="A50" s="34" t="s">
        <v>34</v>
      </c>
      <c r="B50" s="31" t="s">
        <v>35</v>
      </c>
      <c r="C50" s="9">
        <v>0.08</v>
      </c>
      <c r="D50" s="13">
        <f t="shared" si="0"/>
        <v>230.07</v>
      </c>
    </row>
    <row r="51" spans="1:4" x14ac:dyDescent="0.2">
      <c r="A51" s="98" t="s">
        <v>36</v>
      </c>
      <c r="B51" s="98"/>
      <c r="C51" s="15">
        <f>SUM(C43:C50)</f>
        <v>0.36800000000000005</v>
      </c>
      <c r="D51" s="17">
        <f>SUM(D43:D50)</f>
        <v>1058.3</v>
      </c>
    </row>
    <row r="54" spans="1:4" x14ac:dyDescent="0.2">
      <c r="A54" s="96" t="s">
        <v>37</v>
      </c>
      <c r="B54" s="96"/>
      <c r="C54" s="96"/>
      <c r="D54" s="96"/>
    </row>
    <row r="56" spans="1:4" x14ac:dyDescent="0.2">
      <c r="A56" s="32" t="s">
        <v>38</v>
      </c>
      <c r="B56" s="97" t="s">
        <v>39</v>
      </c>
      <c r="C56" s="97"/>
      <c r="D56" s="32" t="s">
        <v>3</v>
      </c>
    </row>
    <row r="57" spans="1:4" x14ac:dyDescent="0.2">
      <c r="A57" s="34" t="s">
        <v>4</v>
      </c>
      <c r="B57" s="100" t="s">
        <v>40</v>
      </c>
      <c r="C57" s="100"/>
      <c r="D57" s="13">
        <f>(15*2*3.92)-(D19*0.06)</f>
        <v>29.326799999999992</v>
      </c>
    </row>
    <row r="58" spans="1:4" x14ac:dyDescent="0.2">
      <c r="A58" s="34" t="s">
        <v>6</v>
      </c>
      <c r="B58" s="100" t="s">
        <v>41</v>
      </c>
      <c r="C58" s="100"/>
      <c r="D58" s="13">
        <f>16.59*15*0.85</f>
        <v>211.52249999999998</v>
      </c>
    </row>
    <row r="59" spans="1:4" x14ac:dyDescent="0.2">
      <c r="A59" s="34" t="s">
        <v>8</v>
      </c>
      <c r="B59" s="100" t="s">
        <v>110</v>
      </c>
      <c r="C59" s="100"/>
      <c r="D59" s="13">
        <v>52.87</v>
      </c>
    </row>
    <row r="60" spans="1:4" x14ac:dyDescent="0.2">
      <c r="A60" s="34" t="s">
        <v>10</v>
      </c>
      <c r="B60" s="100" t="s">
        <v>104</v>
      </c>
      <c r="C60" s="100"/>
      <c r="D60" s="13">
        <v>8.5</v>
      </c>
    </row>
    <row r="61" spans="1:4" x14ac:dyDescent="0.2">
      <c r="A61" s="34" t="s">
        <v>12</v>
      </c>
      <c r="B61" s="100" t="s">
        <v>105</v>
      </c>
      <c r="C61" s="100"/>
      <c r="D61" s="13">
        <v>3.5</v>
      </c>
    </row>
    <row r="62" spans="1:4" x14ac:dyDescent="0.2">
      <c r="A62" s="34" t="s">
        <v>31</v>
      </c>
      <c r="B62" s="100" t="s">
        <v>111</v>
      </c>
      <c r="C62" s="100"/>
      <c r="D62" s="13"/>
    </row>
    <row r="63" spans="1:4" x14ac:dyDescent="0.2">
      <c r="A63" s="41" t="s">
        <v>14</v>
      </c>
      <c r="B63" s="100" t="s">
        <v>179</v>
      </c>
      <c r="C63" s="100"/>
      <c r="D63" s="13">
        <f>(13.04*12)/12</f>
        <v>13.04</v>
      </c>
    </row>
    <row r="64" spans="1:4" x14ac:dyDescent="0.2">
      <c r="A64" s="93" t="s">
        <v>34</v>
      </c>
      <c r="B64" s="100" t="s">
        <v>207</v>
      </c>
      <c r="C64" s="100"/>
      <c r="D64" s="13">
        <f>D19*0.22*(21/24)</f>
        <v>283.20985000000002</v>
      </c>
    </row>
    <row r="65" spans="1:4" x14ac:dyDescent="0.2">
      <c r="A65" s="93" t="s">
        <v>206</v>
      </c>
      <c r="B65" s="100" t="s">
        <v>209</v>
      </c>
      <c r="C65" s="100"/>
      <c r="D65" s="13">
        <f>233.73*(2/3)</f>
        <v>155.82</v>
      </c>
    </row>
    <row r="66" spans="1:4" x14ac:dyDescent="0.2">
      <c r="A66" s="98" t="s">
        <v>16</v>
      </c>
      <c r="B66" s="98"/>
      <c r="C66" s="98"/>
      <c r="D66" s="17">
        <f>SUM(D57:D65)</f>
        <v>757.78915000000006</v>
      </c>
    </row>
    <row r="69" spans="1:4" x14ac:dyDescent="0.2">
      <c r="A69" s="96" t="s">
        <v>42</v>
      </c>
      <c r="B69" s="96"/>
      <c r="C69" s="96"/>
      <c r="D69" s="96"/>
    </row>
    <row r="71" spans="1:4" x14ac:dyDescent="0.2">
      <c r="A71" s="32">
        <v>2</v>
      </c>
      <c r="B71" s="97" t="s">
        <v>43</v>
      </c>
      <c r="C71" s="97"/>
      <c r="D71" s="32" t="s">
        <v>3</v>
      </c>
    </row>
    <row r="72" spans="1:4" x14ac:dyDescent="0.2">
      <c r="A72" s="34" t="s">
        <v>19</v>
      </c>
      <c r="B72" s="100" t="s">
        <v>20</v>
      </c>
      <c r="C72" s="100"/>
      <c r="D72" s="14">
        <f>D37</f>
        <v>467.88</v>
      </c>
    </row>
    <row r="73" spans="1:4" x14ac:dyDescent="0.2">
      <c r="A73" s="34" t="s">
        <v>23</v>
      </c>
      <c r="B73" s="100" t="s">
        <v>24</v>
      </c>
      <c r="C73" s="100"/>
      <c r="D73" s="14">
        <f>D51</f>
        <v>1058.3</v>
      </c>
    </row>
    <row r="74" spans="1:4" x14ac:dyDescent="0.2">
      <c r="A74" s="34" t="s">
        <v>38</v>
      </c>
      <c r="B74" s="100" t="s">
        <v>39</v>
      </c>
      <c r="C74" s="100"/>
      <c r="D74" s="14">
        <f>D66</f>
        <v>757.78915000000006</v>
      </c>
    </row>
    <row r="75" spans="1:4" x14ac:dyDescent="0.2">
      <c r="A75" s="98" t="s">
        <v>16</v>
      </c>
      <c r="B75" s="98"/>
      <c r="C75" s="98"/>
      <c r="D75" s="17">
        <f>SUM(D72:D74)</f>
        <v>2283.9691499999999</v>
      </c>
    </row>
    <row r="76" spans="1:4" x14ac:dyDescent="0.2">
      <c r="A76" s="4"/>
    </row>
    <row r="78" spans="1:4" x14ac:dyDescent="0.2">
      <c r="A78" s="99" t="s">
        <v>44</v>
      </c>
      <c r="B78" s="99"/>
      <c r="C78" s="99"/>
      <c r="D78" s="99"/>
    </row>
    <row r="79" spans="1:4" ht="12.75" customHeight="1" x14ac:dyDescent="0.2"/>
    <row r="80" spans="1:4" x14ac:dyDescent="0.2">
      <c r="A80" s="32">
        <v>3</v>
      </c>
      <c r="B80" s="97" t="s">
        <v>45</v>
      </c>
      <c r="C80" s="97"/>
      <c r="D80" s="32" t="s">
        <v>3</v>
      </c>
    </row>
    <row r="81" spans="1:4" x14ac:dyDescent="0.2">
      <c r="A81" s="34" t="s">
        <v>4</v>
      </c>
      <c r="B81" s="10" t="s">
        <v>46</v>
      </c>
      <c r="C81" s="9">
        <f>TRUNC(((1/12)*5%),4)</f>
        <v>4.1000000000000003E-3</v>
      </c>
      <c r="D81" s="13">
        <f>TRUNC($D$26*C81,2)</f>
        <v>9.8699999999999992</v>
      </c>
    </row>
    <row r="82" spans="1:4" x14ac:dyDescent="0.2">
      <c r="A82" s="34" t="s">
        <v>6</v>
      </c>
      <c r="B82" s="10" t="s">
        <v>47</v>
      </c>
      <c r="C82" s="9">
        <v>0.08</v>
      </c>
      <c r="D82" s="13">
        <f>TRUNC(D81*C82,2)</f>
        <v>0.78</v>
      </c>
    </row>
    <row r="83" spans="1:4" x14ac:dyDescent="0.2">
      <c r="A83" s="34" t="s">
        <v>8</v>
      </c>
      <c r="B83" s="10" t="s">
        <v>48</v>
      </c>
      <c r="C83" s="9">
        <f>TRUNC(8%*5%*40%,4)</f>
        <v>1.6000000000000001E-3</v>
      </c>
      <c r="D83" s="13">
        <f>TRUNC($D$26*C83,2)</f>
        <v>3.85</v>
      </c>
    </row>
    <row r="84" spans="1:4" x14ac:dyDescent="0.2">
      <c r="A84" s="34" t="s">
        <v>10</v>
      </c>
      <c r="B84" s="10" t="s">
        <v>49</v>
      </c>
      <c r="C84" s="9">
        <f>TRUNC(((7/30)/12)*95%,4)</f>
        <v>1.84E-2</v>
      </c>
      <c r="D84" s="13">
        <f>TRUNC($D$26*C84,2)</f>
        <v>44.3</v>
      </c>
    </row>
    <row r="85" spans="1:4" ht="25.5" x14ac:dyDescent="0.2">
      <c r="A85" s="34" t="s">
        <v>12</v>
      </c>
      <c r="B85" s="10" t="s">
        <v>94</v>
      </c>
      <c r="C85" s="9">
        <f>C51</f>
        <v>0.36800000000000005</v>
      </c>
      <c r="D85" s="13">
        <f>TRUNC(D84*C85,2)</f>
        <v>16.3</v>
      </c>
    </row>
    <row r="86" spans="1:4" x14ac:dyDescent="0.2">
      <c r="A86" s="34" t="s">
        <v>31</v>
      </c>
      <c r="B86" s="10" t="s">
        <v>50</v>
      </c>
      <c r="C86" s="9">
        <f>TRUNC(8%*95%*40%,4)</f>
        <v>3.04E-2</v>
      </c>
      <c r="D86" s="13">
        <f t="shared" ref="D86" si="1">TRUNC($D$26*C86,2)</f>
        <v>73.2</v>
      </c>
    </row>
    <row r="87" spans="1:4" x14ac:dyDescent="0.2">
      <c r="A87" s="101" t="s">
        <v>16</v>
      </c>
      <c r="B87" s="110"/>
      <c r="C87" s="102"/>
      <c r="D87" s="17">
        <f>SUM(D81:D86)</f>
        <v>148.30000000000001</v>
      </c>
    </row>
    <row r="90" spans="1:4" x14ac:dyDescent="0.2">
      <c r="A90" s="99" t="s">
        <v>51</v>
      </c>
      <c r="B90" s="99"/>
      <c r="C90" s="99"/>
      <c r="D90" s="99"/>
    </row>
    <row r="93" spans="1:4" x14ac:dyDescent="0.2">
      <c r="A93" s="96" t="s">
        <v>78</v>
      </c>
      <c r="B93" s="96"/>
      <c r="C93" s="96"/>
      <c r="D93" s="96"/>
    </row>
    <row r="94" spans="1:4" x14ac:dyDescent="0.2">
      <c r="A94" s="3"/>
    </row>
    <row r="95" spans="1:4" x14ac:dyDescent="0.2">
      <c r="A95" s="32" t="s">
        <v>52</v>
      </c>
      <c r="B95" s="97" t="s">
        <v>79</v>
      </c>
      <c r="C95" s="97"/>
      <c r="D95" s="32" t="s">
        <v>3</v>
      </c>
    </row>
    <row r="96" spans="1:4" x14ac:dyDescent="0.2">
      <c r="A96" s="34" t="s">
        <v>4</v>
      </c>
      <c r="B96" s="31" t="s">
        <v>80</v>
      </c>
      <c r="C96" s="9">
        <f>TRUNC(((1+1/3)/12)/12,4)</f>
        <v>9.1999999999999998E-3</v>
      </c>
      <c r="D96" s="13">
        <f t="shared" ref="D96:D101" si="2">TRUNC(($D$26+$D$75+$D$87)*C96,2)</f>
        <v>44.53</v>
      </c>
    </row>
    <row r="97" spans="1:4" x14ac:dyDescent="0.2">
      <c r="A97" s="34" t="s">
        <v>6</v>
      </c>
      <c r="B97" s="31" t="s">
        <v>81</v>
      </c>
      <c r="C97" s="9">
        <f>TRUNC(((2/30)/12),4)</f>
        <v>5.4999999999999997E-3</v>
      </c>
      <c r="D97" s="13">
        <f t="shared" si="2"/>
        <v>26.62</v>
      </c>
    </row>
    <row r="98" spans="1:4" x14ac:dyDescent="0.2">
      <c r="A98" s="34" t="s">
        <v>8</v>
      </c>
      <c r="B98" s="31" t="s">
        <v>82</v>
      </c>
      <c r="C98" s="9">
        <f>TRUNC(((5/30)/12)*2%,4)</f>
        <v>2.0000000000000001E-4</v>
      </c>
      <c r="D98" s="13">
        <f t="shared" si="2"/>
        <v>0.96</v>
      </c>
    </row>
    <row r="99" spans="1:4" x14ac:dyDescent="0.2">
      <c r="A99" s="34" t="s">
        <v>10</v>
      </c>
      <c r="B99" s="31" t="s">
        <v>83</v>
      </c>
      <c r="C99" s="9">
        <f>TRUNC(((15/30)/12)*8%,4)</f>
        <v>3.3E-3</v>
      </c>
      <c r="D99" s="13">
        <f t="shared" si="2"/>
        <v>15.97</v>
      </c>
    </row>
    <row r="100" spans="1:4" x14ac:dyDescent="0.2">
      <c r="A100" s="34" t="s">
        <v>12</v>
      </c>
      <c r="B100" s="31" t="s">
        <v>84</v>
      </c>
      <c r="C100" s="9">
        <f>((1+1/3)/12)*3%*(4/12)</f>
        <v>1.1111111111111109E-3</v>
      </c>
      <c r="D100" s="13">
        <f t="shared" si="2"/>
        <v>5.37</v>
      </c>
    </row>
    <row r="101" spans="1:4" x14ac:dyDescent="0.2">
      <c r="A101" s="34" t="s">
        <v>31</v>
      </c>
      <c r="B101" s="31" t="s">
        <v>85</v>
      </c>
      <c r="C101" s="9"/>
      <c r="D101" s="13">
        <f t="shared" si="2"/>
        <v>0</v>
      </c>
    </row>
    <row r="102" spans="1:4" x14ac:dyDescent="0.2">
      <c r="A102" s="98" t="s">
        <v>36</v>
      </c>
      <c r="B102" s="98"/>
      <c r="C102" s="98"/>
      <c r="D102" s="17">
        <f>SUM(D96:D101)</f>
        <v>93.45</v>
      </c>
    </row>
    <row r="105" spans="1:4" x14ac:dyDescent="0.2">
      <c r="A105" s="96" t="s">
        <v>86</v>
      </c>
      <c r="B105" s="96"/>
      <c r="C105" s="96"/>
      <c r="D105" s="96"/>
    </row>
    <row r="106" spans="1:4" x14ac:dyDescent="0.2">
      <c r="A106" s="3"/>
    </row>
    <row r="107" spans="1:4" x14ac:dyDescent="0.2">
      <c r="A107" s="32" t="s">
        <v>53</v>
      </c>
      <c r="B107" s="97" t="s">
        <v>87</v>
      </c>
      <c r="C107" s="97"/>
      <c r="D107" s="32" t="s">
        <v>3</v>
      </c>
    </row>
    <row r="108" spans="1:4" x14ac:dyDescent="0.2">
      <c r="A108" s="34" t="s">
        <v>4</v>
      </c>
      <c r="B108" s="107" t="s">
        <v>88</v>
      </c>
      <c r="C108" s="108"/>
      <c r="D108" s="13">
        <f>((D26+D75+D87)/220)*22*0</f>
        <v>0</v>
      </c>
    </row>
    <row r="109" spans="1:4" x14ac:dyDescent="0.2">
      <c r="A109" s="98" t="s">
        <v>16</v>
      </c>
      <c r="B109" s="98"/>
      <c r="C109" s="98"/>
      <c r="D109" s="17">
        <f>SUM(D108)</f>
        <v>0</v>
      </c>
    </row>
    <row r="112" spans="1:4" x14ac:dyDescent="0.2">
      <c r="A112" s="96" t="s">
        <v>54</v>
      </c>
      <c r="B112" s="96"/>
      <c r="C112" s="96"/>
      <c r="D112" s="96"/>
    </row>
    <row r="113" spans="1:4" x14ac:dyDescent="0.2">
      <c r="A113" s="3"/>
    </row>
    <row r="114" spans="1:4" x14ac:dyDescent="0.2">
      <c r="A114" s="32">
        <v>4</v>
      </c>
      <c r="B114" s="98" t="s">
        <v>55</v>
      </c>
      <c r="C114" s="98"/>
      <c r="D114" s="32" t="s">
        <v>3</v>
      </c>
    </row>
    <row r="115" spans="1:4" x14ac:dyDescent="0.2">
      <c r="A115" s="34" t="s">
        <v>52</v>
      </c>
      <c r="B115" s="100" t="s">
        <v>79</v>
      </c>
      <c r="C115" s="100"/>
      <c r="D115" s="14">
        <f>D102</f>
        <v>93.45</v>
      </c>
    </row>
    <row r="116" spans="1:4" x14ac:dyDescent="0.2">
      <c r="A116" s="34" t="s">
        <v>53</v>
      </c>
      <c r="B116" s="100" t="s">
        <v>87</v>
      </c>
      <c r="C116" s="100"/>
      <c r="D116" s="14">
        <f>D109</f>
        <v>0</v>
      </c>
    </row>
    <row r="117" spans="1:4" x14ac:dyDescent="0.2">
      <c r="A117" s="98" t="s">
        <v>16</v>
      </c>
      <c r="B117" s="98"/>
      <c r="C117" s="98"/>
      <c r="D117" s="17">
        <f>SUM(D115:D116)</f>
        <v>93.45</v>
      </c>
    </row>
    <row r="120" spans="1:4" x14ac:dyDescent="0.2">
      <c r="A120" s="99" t="s">
        <v>56</v>
      </c>
      <c r="B120" s="99"/>
      <c r="C120" s="99"/>
      <c r="D120" s="99"/>
    </row>
    <row r="122" spans="1:4" x14ac:dyDescent="0.2">
      <c r="A122" s="32">
        <v>5</v>
      </c>
      <c r="B122" s="109" t="s">
        <v>57</v>
      </c>
      <c r="C122" s="109"/>
      <c r="D122" s="32" t="s">
        <v>3</v>
      </c>
    </row>
    <row r="123" spans="1:4" x14ac:dyDescent="0.2">
      <c r="A123" s="34" t="s">
        <v>4</v>
      </c>
      <c r="B123" s="100" t="s">
        <v>58</v>
      </c>
      <c r="C123" s="100"/>
      <c r="D123" s="13">
        <v>151.96</v>
      </c>
    </row>
    <row r="124" spans="1:4" x14ac:dyDescent="0.2">
      <c r="A124" s="34" t="s">
        <v>6</v>
      </c>
      <c r="B124" s="100" t="s">
        <v>59</v>
      </c>
      <c r="C124" s="100"/>
      <c r="D124" s="13">
        <v>2.2599999999999998</v>
      </c>
    </row>
    <row r="125" spans="1:4" x14ac:dyDescent="0.2">
      <c r="A125" s="34" t="s">
        <v>8</v>
      </c>
      <c r="B125" s="100" t="s">
        <v>60</v>
      </c>
      <c r="C125" s="100"/>
      <c r="D125" s="13">
        <v>21.12</v>
      </c>
    </row>
    <row r="126" spans="1:4" x14ac:dyDescent="0.2">
      <c r="A126" s="34" t="s">
        <v>10</v>
      </c>
      <c r="B126" s="100" t="s">
        <v>180</v>
      </c>
      <c r="C126" s="100"/>
      <c r="D126" s="13">
        <v>93.59</v>
      </c>
    </row>
    <row r="127" spans="1:4" x14ac:dyDescent="0.2">
      <c r="A127" s="93" t="s">
        <v>12</v>
      </c>
      <c r="B127" s="100" t="s">
        <v>208</v>
      </c>
      <c r="C127" s="100"/>
      <c r="D127" s="13">
        <v>84</v>
      </c>
    </row>
    <row r="128" spans="1:4" x14ac:dyDescent="0.2">
      <c r="A128" s="98" t="s">
        <v>36</v>
      </c>
      <c r="B128" s="98"/>
      <c r="C128" s="98"/>
      <c r="D128" s="18">
        <f>SUM(D123:D127)</f>
        <v>352.93</v>
      </c>
    </row>
    <row r="131" spans="1:4" x14ac:dyDescent="0.2">
      <c r="A131" s="99" t="s">
        <v>61</v>
      </c>
      <c r="B131" s="99"/>
      <c r="C131" s="99"/>
      <c r="D131" s="99"/>
    </row>
    <row r="133" spans="1:4" x14ac:dyDescent="0.2">
      <c r="A133" s="32">
        <v>6</v>
      </c>
      <c r="B133" s="33" t="s">
        <v>62</v>
      </c>
      <c r="C133" s="32" t="s">
        <v>25</v>
      </c>
      <c r="D133" s="32" t="s">
        <v>3</v>
      </c>
    </row>
    <row r="134" spans="1:4" x14ac:dyDescent="0.2">
      <c r="A134" s="34" t="s">
        <v>4</v>
      </c>
      <c r="B134" s="31" t="s">
        <v>63</v>
      </c>
      <c r="C134" s="9">
        <v>0.06</v>
      </c>
      <c r="D134" s="14">
        <f>D154*C134</f>
        <v>317.2061277272727</v>
      </c>
    </row>
    <row r="135" spans="1:4" x14ac:dyDescent="0.2">
      <c r="A135" s="34" t="s">
        <v>6</v>
      </c>
      <c r="B135" s="31" t="s">
        <v>64</v>
      </c>
      <c r="C135" s="9">
        <v>6.7900000000000002E-2</v>
      </c>
      <c r="D135" s="13">
        <f>(D154+D134)*C135</f>
        <v>380.50989728404545</v>
      </c>
    </row>
    <row r="136" spans="1:4" x14ac:dyDescent="0.2">
      <c r="A136" s="34" t="s">
        <v>8</v>
      </c>
      <c r="B136" s="31" t="s">
        <v>65</v>
      </c>
      <c r="C136" s="12">
        <f>SUM(C137:C142)</f>
        <v>8.6499999999999994E-2</v>
      </c>
      <c r="D136" s="13">
        <f>(D154+D134+D135)*C136/(1-C136)</f>
        <v>566.67535519463286</v>
      </c>
    </row>
    <row r="137" spans="1:4" x14ac:dyDescent="0.2">
      <c r="A137" s="34"/>
      <c r="B137" s="31" t="s">
        <v>66</v>
      </c>
      <c r="C137" s="9"/>
      <c r="D137" s="14">
        <f>$D$156*C137</f>
        <v>0</v>
      </c>
    </row>
    <row r="138" spans="1:4" x14ac:dyDescent="0.2">
      <c r="A138" s="34"/>
      <c r="B138" s="31" t="s">
        <v>96</v>
      </c>
      <c r="C138" s="9">
        <v>6.4999999999999997E-3</v>
      </c>
      <c r="D138" s="14">
        <f t="shared" ref="D138:D142" si="3">$D$156*C138</f>
        <v>42.582541141793222</v>
      </c>
    </row>
    <row r="139" spans="1:4" x14ac:dyDescent="0.2">
      <c r="A139" s="34"/>
      <c r="B139" s="31" t="s">
        <v>97</v>
      </c>
      <c r="C139" s="9">
        <v>0.03</v>
      </c>
      <c r="D139" s="14">
        <f t="shared" si="3"/>
        <v>196.53480526981488</v>
      </c>
    </row>
    <row r="140" spans="1:4" x14ac:dyDescent="0.2">
      <c r="A140" s="34"/>
      <c r="B140" s="31" t="s">
        <v>67</v>
      </c>
      <c r="C140" s="34"/>
      <c r="D140" s="14">
        <f t="shared" si="3"/>
        <v>0</v>
      </c>
    </row>
    <row r="141" spans="1:4" x14ac:dyDescent="0.2">
      <c r="A141" s="34"/>
      <c r="B141" s="31" t="s">
        <v>68</v>
      </c>
      <c r="C141" s="9"/>
      <c r="D141" s="14">
        <f t="shared" si="3"/>
        <v>0</v>
      </c>
    </row>
    <row r="142" spans="1:4" x14ac:dyDescent="0.2">
      <c r="A142" s="34"/>
      <c r="B142" s="31" t="s">
        <v>98</v>
      </c>
      <c r="C142" s="9">
        <v>0.05</v>
      </c>
      <c r="D142" s="14">
        <f t="shared" si="3"/>
        <v>327.55800878302483</v>
      </c>
    </row>
    <row r="143" spans="1:4" ht="13.5" x14ac:dyDescent="0.2">
      <c r="A143" s="101" t="s">
        <v>36</v>
      </c>
      <c r="B143" s="110"/>
      <c r="C143" s="19">
        <f>(1+C135)*(1+C134)/(1-C136)-1</f>
        <v>0.2391614668856048</v>
      </c>
      <c r="D143" s="17">
        <f>SUM(D134:D136)</f>
        <v>1264.391380205951</v>
      </c>
    </row>
    <row r="146" spans="1:4" x14ac:dyDescent="0.2">
      <c r="A146" s="99" t="s">
        <v>69</v>
      </c>
      <c r="B146" s="99"/>
      <c r="C146" s="99"/>
      <c r="D146" s="99"/>
    </row>
    <row r="148" spans="1:4" x14ac:dyDescent="0.2">
      <c r="A148" s="32"/>
      <c r="B148" s="98" t="s">
        <v>70</v>
      </c>
      <c r="C148" s="98"/>
      <c r="D148" s="32" t="s">
        <v>3</v>
      </c>
    </row>
    <row r="149" spans="1:4" x14ac:dyDescent="0.2">
      <c r="A149" s="32" t="s">
        <v>4</v>
      </c>
      <c r="B149" s="100" t="s">
        <v>1</v>
      </c>
      <c r="C149" s="100"/>
      <c r="D149" s="20">
        <f>D26</f>
        <v>2408.1196454545452</v>
      </c>
    </row>
    <row r="150" spans="1:4" x14ac:dyDescent="0.2">
      <c r="A150" s="32" t="s">
        <v>6</v>
      </c>
      <c r="B150" s="100" t="s">
        <v>17</v>
      </c>
      <c r="C150" s="100"/>
      <c r="D150" s="20">
        <f>D75</f>
        <v>2283.9691499999999</v>
      </c>
    </row>
    <row r="151" spans="1:4" x14ac:dyDescent="0.2">
      <c r="A151" s="32" t="s">
        <v>8</v>
      </c>
      <c r="B151" s="100" t="s">
        <v>44</v>
      </c>
      <c r="C151" s="100"/>
      <c r="D151" s="20">
        <f>D87</f>
        <v>148.30000000000001</v>
      </c>
    </row>
    <row r="152" spans="1:4" x14ac:dyDescent="0.2">
      <c r="A152" s="32" t="s">
        <v>10</v>
      </c>
      <c r="B152" s="100" t="s">
        <v>51</v>
      </c>
      <c r="C152" s="100"/>
      <c r="D152" s="20">
        <f>D117</f>
        <v>93.45</v>
      </c>
    </row>
    <row r="153" spans="1:4" x14ac:dyDescent="0.2">
      <c r="A153" s="32" t="s">
        <v>12</v>
      </c>
      <c r="B153" s="100" t="s">
        <v>56</v>
      </c>
      <c r="C153" s="100"/>
      <c r="D153" s="20">
        <f>D128</f>
        <v>352.93</v>
      </c>
    </row>
    <row r="154" spans="1:4" x14ac:dyDescent="0.2">
      <c r="A154" s="98" t="s">
        <v>95</v>
      </c>
      <c r="B154" s="98"/>
      <c r="C154" s="98"/>
      <c r="D154" s="21">
        <f>SUM(D149:D153)</f>
        <v>5286.7687954545454</v>
      </c>
    </row>
    <row r="155" spans="1:4" x14ac:dyDescent="0.2">
      <c r="A155" s="32" t="s">
        <v>31</v>
      </c>
      <c r="B155" s="100" t="s">
        <v>71</v>
      </c>
      <c r="C155" s="100"/>
      <c r="D155" s="22">
        <f>D143</f>
        <v>1264.391380205951</v>
      </c>
    </row>
    <row r="156" spans="1:4" x14ac:dyDescent="0.2">
      <c r="A156" s="98" t="s">
        <v>72</v>
      </c>
      <c r="B156" s="98"/>
      <c r="C156" s="98"/>
      <c r="D156" s="21">
        <f>SUM(D154:D155)</f>
        <v>6551.160175660496</v>
      </c>
    </row>
  </sheetData>
  <mergeCells count="80">
    <mergeCell ref="A154:C154"/>
    <mergeCell ref="B155:C155"/>
    <mergeCell ref="A156:C156"/>
    <mergeCell ref="B148:C148"/>
    <mergeCell ref="B149:C149"/>
    <mergeCell ref="B150:C150"/>
    <mergeCell ref="B151:C151"/>
    <mergeCell ref="B152:C152"/>
    <mergeCell ref="B153:C153"/>
    <mergeCell ref="A146:D146"/>
    <mergeCell ref="A109:C109"/>
    <mergeCell ref="A112:D112"/>
    <mergeCell ref="B114:C114"/>
    <mergeCell ref="B115:C115"/>
    <mergeCell ref="B116:C116"/>
    <mergeCell ref="A117:C117"/>
    <mergeCell ref="A120:D120"/>
    <mergeCell ref="B122:C122"/>
    <mergeCell ref="A128:C128"/>
    <mergeCell ref="A131:D131"/>
    <mergeCell ref="A143:B143"/>
    <mergeCell ref="B123:C123"/>
    <mergeCell ref="B124:C124"/>
    <mergeCell ref="B125:C125"/>
    <mergeCell ref="B126:C126"/>
    <mergeCell ref="B108:C108"/>
    <mergeCell ref="B74:C74"/>
    <mergeCell ref="A75:C75"/>
    <mergeCell ref="A78:D78"/>
    <mergeCell ref="B80:C80"/>
    <mergeCell ref="A87:C87"/>
    <mergeCell ref="A90:D90"/>
    <mergeCell ref="A93:D93"/>
    <mergeCell ref="B95:C95"/>
    <mergeCell ref="A102:C102"/>
    <mergeCell ref="A105:D105"/>
    <mergeCell ref="B107:C107"/>
    <mergeCell ref="B73:C73"/>
    <mergeCell ref="B59:C59"/>
    <mergeCell ref="B60:C60"/>
    <mergeCell ref="B61:C61"/>
    <mergeCell ref="B62:C62"/>
    <mergeCell ref="A66:C66"/>
    <mergeCell ref="A69:D69"/>
    <mergeCell ref="B71:C71"/>
    <mergeCell ref="B72:C72"/>
    <mergeCell ref="B63:C63"/>
    <mergeCell ref="B64:C64"/>
    <mergeCell ref="B65:C65"/>
    <mergeCell ref="B21:C21"/>
    <mergeCell ref="B22:C22"/>
    <mergeCell ref="B23:C23"/>
    <mergeCell ref="B58:C58"/>
    <mergeCell ref="B25:C25"/>
    <mergeCell ref="A26:C26"/>
    <mergeCell ref="A29:D29"/>
    <mergeCell ref="A31:D31"/>
    <mergeCell ref="B33:C33"/>
    <mergeCell ref="A37:B37"/>
    <mergeCell ref="A40:D40"/>
    <mergeCell ref="A51:B51"/>
    <mergeCell ref="A54:D54"/>
    <mergeCell ref="B56:C56"/>
    <mergeCell ref="B57:C57"/>
    <mergeCell ref="B127:C127"/>
    <mergeCell ref="C10:D10"/>
    <mergeCell ref="A1:D1"/>
    <mergeCell ref="A3:D3"/>
    <mergeCell ref="A5:B5"/>
    <mergeCell ref="A6:B6"/>
    <mergeCell ref="A8:D8"/>
    <mergeCell ref="B24:C24"/>
    <mergeCell ref="C11:D11"/>
    <mergeCell ref="C12:D12"/>
    <mergeCell ref="C13:D13"/>
    <mergeCell ref="C14:D14"/>
    <mergeCell ref="A16:D16"/>
    <mergeCell ref="B18:C18"/>
    <mergeCell ref="B19:C19"/>
    <mergeCell ref="B20:C20"/>
  </mergeCells>
  <pageMargins left="0.511811024" right="0.511811024" top="0.78740157499999996" bottom="0.78740157499999996" header="0.31496062000000002" footer="0.31496062000000002"/>
  <pageSetup paperSize="9" scale="84"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56"/>
  <sheetViews>
    <sheetView zoomScale="115" zoomScaleNormal="115" workbookViewId="0">
      <selection activeCell="F15" sqref="F15:G15"/>
    </sheetView>
  </sheetViews>
  <sheetFormatPr defaultRowHeight="12.75" x14ac:dyDescent="0.2"/>
  <cols>
    <col min="1" max="1" width="9.140625" style="1"/>
    <col min="2" max="2" width="60.28515625" style="1" customWidth="1"/>
    <col min="3" max="3" width="18" style="1" customWidth="1"/>
    <col min="4" max="4" width="21.42578125" style="1" customWidth="1"/>
    <col min="5" max="5" width="15.140625" style="1" customWidth="1"/>
    <col min="6" max="16384" width="9.140625" style="1"/>
  </cols>
  <sheetData>
    <row r="1" spans="1:4" ht="15.75" x14ac:dyDescent="0.25">
      <c r="A1" s="111" t="s">
        <v>0</v>
      </c>
      <c r="B1" s="111"/>
      <c r="C1" s="111"/>
      <c r="D1" s="111"/>
    </row>
    <row r="2" spans="1:4" ht="15.75" x14ac:dyDescent="0.25">
      <c r="A2" s="24"/>
      <c r="B2" s="24"/>
      <c r="C2" s="24"/>
      <c r="D2" s="24"/>
    </row>
    <row r="3" spans="1:4" x14ac:dyDescent="0.2">
      <c r="A3" s="106" t="s">
        <v>89</v>
      </c>
      <c r="B3" s="106"/>
      <c r="C3" s="106"/>
      <c r="D3" s="106"/>
    </row>
    <row r="4" spans="1:4" x14ac:dyDescent="0.2">
      <c r="A4" s="2"/>
      <c r="B4" s="2"/>
      <c r="C4" s="2"/>
      <c r="D4" s="2"/>
    </row>
    <row r="5" spans="1:4" ht="38.25" x14ac:dyDescent="0.2">
      <c r="A5" s="113" t="s">
        <v>90</v>
      </c>
      <c r="B5" s="113"/>
      <c r="C5" s="34" t="s">
        <v>91</v>
      </c>
      <c r="D5" s="25" t="s">
        <v>92</v>
      </c>
    </row>
    <row r="6" spans="1:4" ht="25.5" customHeight="1" x14ac:dyDescent="0.2">
      <c r="A6" s="101" t="s">
        <v>116</v>
      </c>
      <c r="B6" s="102"/>
      <c r="C6" s="35" t="s">
        <v>100</v>
      </c>
      <c r="D6" s="35">
        <v>5</v>
      </c>
    </row>
    <row r="8" spans="1:4" x14ac:dyDescent="0.2">
      <c r="A8" s="106" t="s">
        <v>73</v>
      </c>
      <c r="B8" s="106"/>
      <c r="C8" s="106"/>
      <c r="D8" s="106"/>
    </row>
    <row r="9" spans="1:4" x14ac:dyDescent="0.2">
      <c r="A9" s="2"/>
      <c r="B9" s="2"/>
      <c r="C9" s="2"/>
      <c r="D9" s="2"/>
    </row>
    <row r="10" spans="1:4" x14ac:dyDescent="0.2">
      <c r="A10" s="5">
        <v>1</v>
      </c>
      <c r="B10" s="5" t="s">
        <v>74</v>
      </c>
      <c r="C10" s="103" t="s">
        <v>113</v>
      </c>
      <c r="D10" s="104"/>
    </row>
    <row r="11" spans="1:4" x14ac:dyDescent="0.2">
      <c r="A11" s="5">
        <v>2</v>
      </c>
      <c r="B11" s="5" t="s">
        <v>93</v>
      </c>
      <c r="C11" s="103">
        <v>517330</v>
      </c>
      <c r="D11" s="104"/>
    </row>
    <row r="12" spans="1:4" x14ac:dyDescent="0.2">
      <c r="A12" s="5">
        <v>3</v>
      </c>
      <c r="B12" s="5" t="s">
        <v>75</v>
      </c>
      <c r="C12" s="103">
        <v>1471.22</v>
      </c>
      <c r="D12" s="104"/>
    </row>
    <row r="13" spans="1:4" x14ac:dyDescent="0.2">
      <c r="A13" s="5">
        <v>4</v>
      </c>
      <c r="B13" s="5" t="s">
        <v>76</v>
      </c>
      <c r="C13" s="103" t="s">
        <v>102</v>
      </c>
      <c r="D13" s="104"/>
    </row>
    <row r="14" spans="1:4" x14ac:dyDescent="0.2">
      <c r="A14" s="5">
        <v>5</v>
      </c>
      <c r="B14" s="5" t="s">
        <v>77</v>
      </c>
      <c r="C14" s="105">
        <v>45292</v>
      </c>
      <c r="D14" s="104"/>
    </row>
    <row r="16" spans="1:4" x14ac:dyDescent="0.2">
      <c r="A16" s="106" t="s">
        <v>1</v>
      </c>
      <c r="B16" s="106"/>
      <c r="C16" s="106"/>
      <c r="D16" s="106"/>
    </row>
    <row r="18" spans="1:4" x14ac:dyDescent="0.2">
      <c r="A18" s="32">
        <v>1</v>
      </c>
      <c r="B18" s="98" t="s">
        <v>2</v>
      </c>
      <c r="C18" s="98"/>
      <c r="D18" s="32" t="s">
        <v>3</v>
      </c>
    </row>
    <row r="19" spans="1:4" x14ac:dyDescent="0.2">
      <c r="A19" s="34" t="s">
        <v>4</v>
      </c>
      <c r="B19" s="100" t="s">
        <v>5</v>
      </c>
      <c r="C19" s="100"/>
      <c r="D19" s="13">
        <v>1471.22</v>
      </c>
    </row>
    <row r="20" spans="1:4" x14ac:dyDescent="0.2">
      <c r="A20" s="34" t="s">
        <v>6</v>
      </c>
      <c r="B20" s="100" t="s">
        <v>7</v>
      </c>
      <c r="C20" s="100"/>
      <c r="D20" s="13">
        <f>D19*0.3</f>
        <v>441.36599999999999</v>
      </c>
    </row>
    <row r="21" spans="1:4" x14ac:dyDescent="0.2">
      <c r="A21" s="34" t="s">
        <v>8</v>
      </c>
      <c r="B21" s="100" t="s">
        <v>9</v>
      </c>
      <c r="C21" s="100"/>
      <c r="D21" s="13"/>
    </row>
    <row r="22" spans="1:4" x14ac:dyDescent="0.2">
      <c r="A22" s="34" t="s">
        <v>10</v>
      </c>
      <c r="B22" s="100" t="s">
        <v>11</v>
      </c>
      <c r="C22" s="100"/>
      <c r="D22" s="13"/>
    </row>
    <row r="23" spans="1:4" x14ac:dyDescent="0.2">
      <c r="A23" s="34" t="s">
        <v>12</v>
      </c>
      <c r="B23" s="100" t="s">
        <v>13</v>
      </c>
      <c r="C23" s="100"/>
      <c r="D23" s="13"/>
    </row>
    <row r="24" spans="1:4" x14ac:dyDescent="0.2">
      <c r="A24" s="34" t="s">
        <v>31</v>
      </c>
      <c r="B24" s="100" t="s">
        <v>114</v>
      </c>
      <c r="C24" s="100"/>
      <c r="D24" s="13">
        <v>0</v>
      </c>
    </row>
    <row r="25" spans="1:4" x14ac:dyDescent="0.2">
      <c r="A25" s="34" t="s">
        <v>14</v>
      </c>
      <c r="B25" s="100" t="s">
        <v>15</v>
      </c>
      <c r="C25" s="100"/>
      <c r="D25" s="13"/>
    </row>
    <row r="26" spans="1:4" x14ac:dyDescent="0.2">
      <c r="A26" s="98" t="s">
        <v>16</v>
      </c>
      <c r="B26" s="98"/>
      <c r="C26" s="98"/>
      <c r="D26" s="18">
        <f>SUM(D19:D25)</f>
        <v>1912.586</v>
      </c>
    </row>
    <row r="29" spans="1:4" x14ac:dyDescent="0.2">
      <c r="A29" s="99" t="s">
        <v>17</v>
      </c>
      <c r="B29" s="99"/>
      <c r="C29" s="99"/>
      <c r="D29" s="99"/>
    </row>
    <row r="30" spans="1:4" x14ac:dyDescent="0.2">
      <c r="A30" s="3"/>
    </row>
    <row r="31" spans="1:4" x14ac:dyDescent="0.2">
      <c r="A31" s="96" t="s">
        <v>18</v>
      </c>
      <c r="B31" s="96"/>
      <c r="C31" s="96"/>
      <c r="D31" s="96"/>
    </row>
    <row r="33" spans="1:4" x14ac:dyDescent="0.2">
      <c r="A33" s="32" t="s">
        <v>19</v>
      </c>
      <c r="B33" s="98" t="s">
        <v>20</v>
      </c>
      <c r="C33" s="98"/>
      <c r="D33" s="32" t="s">
        <v>3</v>
      </c>
    </row>
    <row r="34" spans="1:4" x14ac:dyDescent="0.2">
      <c r="A34" s="34" t="s">
        <v>4</v>
      </c>
      <c r="B34" s="31" t="s">
        <v>21</v>
      </c>
      <c r="C34" s="12">
        <f>TRUNC(1/12,4)</f>
        <v>8.3299999999999999E-2</v>
      </c>
      <c r="D34" s="13">
        <f>TRUNC($D$26*C34,2)</f>
        <v>159.31</v>
      </c>
    </row>
    <row r="35" spans="1:4" x14ac:dyDescent="0.2">
      <c r="A35" s="34" t="s">
        <v>6</v>
      </c>
      <c r="B35" s="31" t="s">
        <v>117</v>
      </c>
      <c r="C35" s="12">
        <f>TRUNC(((1)/12),4)</f>
        <v>8.3299999999999999E-2</v>
      </c>
      <c r="D35" s="13">
        <f>TRUNC($D$26*C35,2)</f>
        <v>159.31</v>
      </c>
    </row>
    <row r="36" spans="1:4" x14ac:dyDescent="0.2">
      <c r="A36" s="34" t="s">
        <v>8</v>
      </c>
      <c r="B36" s="31" t="s">
        <v>118</v>
      </c>
      <c r="C36" s="36">
        <f>TRUNC(((51%)/12),4)</f>
        <v>4.2500000000000003E-2</v>
      </c>
      <c r="D36" s="13">
        <f>TRUNC($D$19*C36,2)</f>
        <v>62.52</v>
      </c>
    </row>
    <row r="37" spans="1:4" x14ac:dyDescent="0.2">
      <c r="A37" s="98" t="s">
        <v>16</v>
      </c>
      <c r="B37" s="98"/>
      <c r="C37" s="26">
        <f>SUM(C34:C36)</f>
        <v>0.20910000000000001</v>
      </c>
      <c r="D37" s="17">
        <f>SUM(D34:D36)</f>
        <v>381.14</v>
      </c>
    </row>
    <row r="40" spans="1:4" x14ac:dyDescent="0.2">
      <c r="A40" s="112" t="s">
        <v>22</v>
      </c>
      <c r="B40" s="112"/>
      <c r="C40" s="112"/>
      <c r="D40" s="112"/>
    </row>
    <row r="42" spans="1:4" x14ac:dyDescent="0.2">
      <c r="A42" s="32" t="s">
        <v>23</v>
      </c>
      <c r="B42" s="32" t="s">
        <v>24</v>
      </c>
      <c r="C42" s="32" t="s">
        <v>25</v>
      </c>
      <c r="D42" s="32" t="s">
        <v>3</v>
      </c>
    </row>
    <row r="43" spans="1:4" x14ac:dyDescent="0.2">
      <c r="A43" s="34" t="s">
        <v>4</v>
      </c>
      <c r="B43" s="31" t="s">
        <v>26</v>
      </c>
      <c r="C43" s="9">
        <v>0.2</v>
      </c>
      <c r="D43" s="13">
        <f>TRUNC(($D$26+$D$37)*C43,2)</f>
        <v>458.74</v>
      </c>
    </row>
    <row r="44" spans="1:4" x14ac:dyDescent="0.2">
      <c r="A44" s="34" t="s">
        <v>6</v>
      </c>
      <c r="B44" s="31" t="s">
        <v>27</v>
      </c>
      <c r="C44" s="9">
        <v>2.5000000000000001E-2</v>
      </c>
      <c r="D44" s="13">
        <f t="shared" ref="D44:D50" si="0">TRUNC(($D$26+$D$37)*C44,2)</f>
        <v>57.34</v>
      </c>
    </row>
    <row r="45" spans="1:4" x14ac:dyDescent="0.2">
      <c r="A45" s="34" t="s">
        <v>8</v>
      </c>
      <c r="B45" s="31" t="s">
        <v>28</v>
      </c>
      <c r="C45" s="16">
        <v>0.03</v>
      </c>
      <c r="D45" s="13">
        <f t="shared" si="0"/>
        <v>68.81</v>
      </c>
    </row>
    <row r="46" spans="1:4" x14ac:dyDescent="0.2">
      <c r="A46" s="34" t="s">
        <v>10</v>
      </c>
      <c r="B46" s="31" t="s">
        <v>29</v>
      </c>
      <c r="C46" s="9">
        <v>1.4999999999999999E-2</v>
      </c>
      <c r="D46" s="13">
        <f t="shared" si="0"/>
        <v>34.4</v>
      </c>
    </row>
    <row r="47" spans="1:4" x14ac:dyDescent="0.2">
      <c r="A47" s="34" t="s">
        <v>12</v>
      </c>
      <c r="B47" s="31" t="s">
        <v>30</v>
      </c>
      <c r="C47" s="9">
        <v>0.01</v>
      </c>
      <c r="D47" s="13">
        <f t="shared" si="0"/>
        <v>22.93</v>
      </c>
    </row>
    <row r="48" spans="1:4" x14ac:dyDescent="0.2">
      <c r="A48" s="34" t="s">
        <v>31</v>
      </c>
      <c r="B48" s="31" t="s">
        <v>32</v>
      </c>
      <c r="C48" s="9">
        <v>6.0000000000000001E-3</v>
      </c>
      <c r="D48" s="13">
        <f t="shared" si="0"/>
        <v>13.76</v>
      </c>
    </row>
    <row r="49" spans="1:4" x14ac:dyDescent="0.2">
      <c r="A49" s="34" t="s">
        <v>14</v>
      </c>
      <c r="B49" s="31" t="s">
        <v>33</v>
      </c>
      <c r="C49" s="9">
        <v>2E-3</v>
      </c>
      <c r="D49" s="13">
        <f t="shared" si="0"/>
        <v>4.58</v>
      </c>
    </row>
    <row r="50" spans="1:4" x14ac:dyDescent="0.2">
      <c r="A50" s="34" t="s">
        <v>34</v>
      </c>
      <c r="B50" s="31" t="s">
        <v>35</v>
      </c>
      <c r="C50" s="9">
        <v>0.08</v>
      </c>
      <c r="D50" s="13">
        <f t="shared" si="0"/>
        <v>183.49</v>
      </c>
    </row>
    <row r="51" spans="1:4" x14ac:dyDescent="0.2">
      <c r="A51" s="98" t="s">
        <v>36</v>
      </c>
      <c r="B51" s="98"/>
      <c r="C51" s="15">
        <f>SUM(C43:C50)</f>
        <v>0.36800000000000005</v>
      </c>
      <c r="D51" s="17">
        <f>SUM(D43:D50)</f>
        <v>844.05000000000007</v>
      </c>
    </row>
    <row r="54" spans="1:4" x14ac:dyDescent="0.2">
      <c r="A54" s="96" t="s">
        <v>37</v>
      </c>
      <c r="B54" s="96"/>
      <c r="C54" s="96"/>
      <c r="D54" s="96"/>
    </row>
    <row r="56" spans="1:4" x14ac:dyDescent="0.2">
      <c r="A56" s="32" t="s">
        <v>38</v>
      </c>
      <c r="B56" s="97" t="s">
        <v>39</v>
      </c>
      <c r="C56" s="97"/>
      <c r="D56" s="32" t="s">
        <v>3</v>
      </c>
    </row>
    <row r="57" spans="1:4" x14ac:dyDescent="0.2">
      <c r="A57" s="34" t="s">
        <v>4</v>
      </c>
      <c r="B57" s="100" t="s">
        <v>40</v>
      </c>
      <c r="C57" s="100"/>
      <c r="D57" s="13">
        <f>(15*2*3.92)-(D19*0.06)</f>
        <v>29.326799999999992</v>
      </c>
    </row>
    <row r="58" spans="1:4" x14ac:dyDescent="0.2">
      <c r="A58" s="34" t="s">
        <v>6</v>
      </c>
      <c r="B58" s="100" t="s">
        <v>41</v>
      </c>
      <c r="C58" s="100"/>
      <c r="D58" s="13">
        <f>16.59*15*0.85</f>
        <v>211.52249999999998</v>
      </c>
    </row>
    <row r="59" spans="1:4" x14ac:dyDescent="0.2">
      <c r="A59" s="34" t="s">
        <v>8</v>
      </c>
      <c r="B59" s="100" t="s">
        <v>110</v>
      </c>
      <c r="C59" s="100"/>
      <c r="D59" s="13"/>
    </row>
    <row r="60" spans="1:4" x14ac:dyDescent="0.2">
      <c r="A60" s="34" t="s">
        <v>10</v>
      </c>
      <c r="B60" s="100" t="s">
        <v>104</v>
      </c>
      <c r="C60" s="100"/>
      <c r="D60" s="13">
        <v>8.5</v>
      </c>
    </row>
    <row r="61" spans="1:4" x14ac:dyDescent="0.2">
      <c r="A61" s="34" t="s">
        <v>12</v>
      </c>
      <c r="B61" s="100" t="s">
        <v>105</v>
      </c>
      <c r="C61" s="100"/>
      <c r="D61" s="13">
        <v>3.5</v>
      </c>
    </row>
    <row r="62" spans="1:4" x14ac:dyDescent="0.2">
      <c r="A62" s="34" t="s">
        <v>31</v>
      </c>
      <c r="B62" s="100" t="s">
        <v>111</v>
      </c>
      <c r="C62" s="100"/>
      <c r="D62" s="13">
        <f>180/24</f>
        <v>7.5</v>
      </c>
    </row>
    <row r="63" spans="1:4" x14ac:dyDescent="0.2">
      <c r="A63" s="41" t="s">
        <v>14</v>
      </c>
      <c r="B63" s="100" t="s">
        <v>179</v>
      </c>
      <c r="C63" s="100"/>
      <c r="D63" s="13">
        <f>(13.04*12)/12</f>
        <v>13.04</v>
      </c>
    </row>
    <row r="64" spans="1:4" x14ac:dyDescent="0.2">
      <c r="A64" s="93" t="s">
        <v>34</v>
      </c>
      <c r="B64" s="100" t="s">
        <v>207</v>
      </c>
      <c r="C64" s="100"/>
      <c r="D64" s="13">
        <f>D19*0.22*(21/24)</f>
        <v>283.20985000000002</v>
      </c>
    </row>
    <row r="65" spans="1:4" x14ac:dyDescent="0.2">
      <c r="A65" s="93" t="s">
        <v>206</v>
      </c>
      <c r="B65" s="100" t="s">
        <v>209</v>
      </c>
      <c r="C65" s="100"/>
      <c r="D65" s="13">
        <f>233.73*(2/3)</f>
        <v>155.82</v>
      </c>
    </row>
    <row r="66" spans="1:4" x14ac:dyDescent="0.2">
      <c r="A66" s="98" t="s">
        <v>16</v>
      </c>
      <c r="B66" s="98"/>
      <c r="C66" s="98"/>
      <c r="D66" s="17">
        <f>SUM(D57:D65)</f>
        <v>712.41914999999995</v>
      </c>
    </row>
    <row r="69" spans="1:4" x14ac:dyDescent="0.2">
      <c r="A69" s="96" t="s">
        <v>42</v>
      </c>
      <c r="B69" s="96"/>
      <c r="C69" s="96"/>
      <c r="D69" s="96"/>
    </row>
    <row r="71" spans="1:4" x14ac:dyDescent="0.2">
      <c r="A71" s="32">
        <v>2</v>
      </c>
      <c r="B71" s="97" t="s">
        <v>43</v>
      </c>
      <c r="C71" s="97"/>
      <c r="D71" s="32" t="s">
        <v>3</v>
      </c>
    </row>
    <row r="72" spans="1:4" x14ac:dyDescent="0.2">
      <c r="A72" s="34" t="s">
        <v>19</v>
      </c>
      <c r="B72" s="100" t="s">
        <v>20</v>
      </c>
      <c r="C72" s="100"/>
      <c r="D72" s="14">
        <f>D37</f>
        <v>381.14</v>
      </c>
    </row>
    <row r="73" spans="1:4" x14ac:dyDescent="0.2">
      <c r="A73" s="34" t="s">
        <v>23</v>
      </c>
      <c r="B73" s="100" t="s">
        <v>24</v>
      </c>
      <c r="C73" s="100"/>
      <c r="D73" s="14">
        <f>D51</f>
        <v>844.05000000000007</v>
      </c>
    </row>
    <row r="74" spans="1:4" x14ac:dyDescent="0.2">
      <c r="A74" s="34" t="s">
        <v>38</v>
      </c>
      <c r="B74" s="100" t="s">
        <v>39</v>
      </c>
      <c r="C74" s="100"/>
      <c r="D74" s="14">
        <f>D66</f>
        <v>712.41914999999995</v>
      </c>
    </row>
    <row r="75" spans="1:4" x14ac:dyDescent="0.2">
      <c r="A75" s="98" t="s">
        <v>16</v>
      </c>
      <c r="B75" s="98"/>
      <c r="C75" s="98"/>
      <c r="D75" s="17">
        <f>SUM(D72:D74)</f>
        <v>1937.60915</v>
      </c>
    </row>
    <row r="76" spans="1:4" x14ac:dyDescent="0.2">
      <c r="A76" s="4"/>
    </row>
    <row r="78" spans="1:4" x14ac:dyDescent="0.2">
      <c r="A78" s="99" t="s">
        <v>44</v>
      </c>
      <c r="B78" s="99"/>
      <c r="C78" s="99"/>
      <c r="D78" s="99"/>
    </row>
    <row r="79" spans="1:4" ht="12.75" customHeight="1" x14ac:dyDescent="0.2"/>
    <row r="80" spans="1:4" x14ac:dyDescent="0.2">
      <c r="A80" s="32">
        <v>3</v>
      </c>
      <c r="B80" s="97" t="s">
        <v>45</v>
      </c>
      <c r="C80" s="97"/>
      <c r="D80" s="32" t="s">
        <v>3</v>
      </c>
    </row>
    <row r="81" spans="1:4" x14ac:dyDescent="0.2">
      <c r="A81" s="34" t="s">
        <v>4</v>
      </c>
      <c r="B81" s="10" t="s">
        <v>46</v>
      </c>
      <c r="C81" s="9">
        <f>TRUNC(((1/12)*5%),4)</f>
        <v>4.1000000000000003E-3</v>
      </c>
      <c r="D81" s="13">
        <f>TRUNC($D$26*C81,2)</f>
        <v>7.84</v>
      </c>
    </row>
    <row r="82" spans="1:4" x14ac:dyDescent="0.2">
      <c r="A82" s="34" t="s">
        <v>6</v>
      </c>
      <c r="B82" s="10" t="s">
        <v>47</v>
      </c>
      <c r="C82" s="9">
        <v>0.08</v>
      </c>
      <c r="D82" s="13">
        <f>TRUNC(D81*C82,2)</f>
        <v>0.62</v>
      </c>
    </row>
    <row r="83" spans="1:4" x14ac:dyDescent="0.2">
      <c r="A83" s="34" t="s">
        <v>8</v>
      </c>
      <c r="B83" s="10" t="s">
        <v>48</v>
      </c>
      <c r="C83" s="9">
        <f>TRUNC(8%*5%*40%,4)</f>
        <v>1.6000000000000001E-3</v>
      </c>
      <c r="D83" s="13">
        <f>TRUNC($D$26*C83,2)</f>
        <v>3.06</v>
      </c>
    </row>
    <row r="84" spans="1:4" x14ac:dyDescent="0.2">
      <c r="A84" s="34" t="s">
        <v>10</v>
      </c>
      <c r="B84" s="10" t="s">
        <v>49</v>
      </c>
      <c r="C84" s="9">
        <f>TRUNC(((7/30)/12)*95%,4)</f>
        <v>1.84E-2</v>
      </c>
      <c r="D84" s="13">
        <f>TRUNC($D$26*C84,2)</f>
        <v>35.19</v>
      </c>
    </row>
    <row r="85" spans="1:4" ht="25.5" x14ac:dyDescent="0.2">
      <c r="A85" s="34" t="s">
        <v>12</v>
      </c>
      <c r="B85" s="10" t="s">
        <v>94</v>
      </c>
      <c r="C85" s="9">
        <f>C51</f>
        <v>0.36800000000000005</v>
      </c>
      <c r="D85" s="13">
        <f>TRUNC(D84*C85,2)</f>
        <v>12.94</v>
      </c>
    </row>
    <row r="86" spans="1:4" x14ac:dyDescent="0.2">
      <c r="A86" s="34" t="s">
        <v>31</v>
      </c>
      <c r="B86" s="10" t="s">
        <v>50</v>
      </c>
      <c r="C86" s="9">
        <f>TRUNC(8%*95%*40%,4)</f>
        <v>3.04E-2</v>
      </c>
      <c r="D86" s="13">
        <f t="shared" ref="D86" si="1">TRUNC($D$26*C86,2)</f>
        <v>58.14</v>
      </c>
    </row>
    <row r="87" spans="1:4" x14ac:dyDescent="0.2">
      <c r="A87" s="101" t="s">
        <v>16</v>
      </c>
      <c r="B87" s="110"/>
      <c r="C87" s="102"/>
      <c r="D87" s="17">
        <f>SUM(D81:D86)</f>
        <v>117.78999999999999</v>
      </c>
    </row>
    <row r="90" spans="1:4" x14ac:dyDescent="0.2">
      <c r="A90" s="99" t="s">
        <v>51</v>
      </c>
      <c r="B90" s="99"/>
      <c r="C90" s="99"/>
      <c r="D90" s="99"/>
    </row>
    <row r="93" spans="1:4" x14ac:dyDescent="0.2">
      <c r="A93" s="96" t="s">
        <v>78</v>
      </c>
      <c r="B93" s="96"/>
      <c r="C93" s="96"/>
      <c r="D93" s="96"/>
    </row>
    <row r="94" spans="1:4" x14ac:dyDescent="0.2">
      <c r="A94" s="3"/>
    </row>
    <row r="95" spans="1:4" x14ac:dyDescent="0.2">
      <c r="A95" s="32" t="s">
        <v>52</v>
      </c>
      <c r="B95" s="97" t="s">
        <v>79</v>
      </c>
      <c r="C95" s="97"/>
      <c r="D95" s="32" t="s">
        <v>3</v>
      </c>
    </row>
    <row r="96" spans="1:4" x14ac:dyDescent="0.2">
      <c r="A96" s="34" t="s">
        <v>4</v>
      </c>
      <c r="B96" s="31" t="s">
        <v>80</v>
      </c>
      <c r="C96" s="9">
        <f>TRUNC(((1+1/3)/12)/12,4)</f>
        <v>9.1999999999999998E-3</v>
      </c>
      <c r="D96" s="13">
        <f t="shared" ref="D96:D101" si="2">TRUNC(($D$26+$D$75+$D$87)*C96,2)</f>
        <v>36.5</v>
      </c>
    </row>
    <row r="97" spans="1:4" x14ac:dyDescent="0.2">
      <c r="A97" s="34" t="s">
        <v>6</v>
      </c>
      <c r="B97" s="31" t="s">
        <v>81</v>
      </c>
      <c r="C97" s="9">
        <f>TRUNC(((2/30)/12),4)</f>
        <v>5.4999999999999997E-3</v>
      </c>
      <c r="D97" s="13">
        <f t="shared" si="2"/>
        <v>21.82</v>
      </c>
    </row>
    <row r="98" spans="1:4" x14ac:dyDescent="0.2">
      <c r="A98" s="34" t="s">
        <v>8</v>
      </c>
      <c r="B98" s="31" t="s">
        <v>82</v>
      </c>
      <c r="C98" s="9">
        <f>TRUNC(((5/30)/12)*2%,4)</f>
        <v>2.0000000000000001E-4</v>
      </c>
      <c r="D98" s="13">
        <f t="shared" si="2"/>
        <v>0.79</v>
      </c>
    </row>
    <row r="99" spans="1:4" x14ac:dyDescent="0.2">
      <c r="A99" s="34" t="s">
        <v>10</v>
      </c>
      <c r="B99" s="31" t="s">
        <v>83</v>
      </c>
      <c r="C99" s="9">
        <f>TRUNC(((15/30)/12)*8%,4)</f>
        <v>3.3E-3</v>
      </c>
      <c r="D99" s="13">
        <f t="shared" si="2"/>
        <v>13.09</v>
      </c>
    </row>
    <row r="100" spans="1:4" x14ac:dyDescent="0.2">
      <c r="A100" s="34" t="s">
        <v>12</v>
      </c>
      <c r="B100" s="31" t="s">
        <v>84</v>
      </c>
      <c r="C100" s="9">
        <f>((1+1/3)/12)*3%*(4/12)</f>
        <v>1.1111111111111109E-3</v>
      </c>
      <c r="D100" s="13">
        <f t="shared" si="2"/>
        <v>4.4000000000000004</v>
      </c>
    </row>
    <row r="101" spans="1:4" x14ac:dyDescent="0.2">
      <c r="A101" s="34" t="s">
        <v>31</v>
      </c>
      <c r="B101" s="31" t="s">
        <v>85</v>
      </c>
      <c r="C101" s="9"/>
      <c r="D101" s="13">
        <f t="shared" si="2"/>
        <v>0</v>
      </c>
    </row>
    <row r="102" spans="1:4" x14ac:dyDescent="0.2">
      <c r="A102" s="98" t="s">
        <v>36</v>
      </c>
      <c r="B102" s="98"/>
      <c r="C102" s="98"/>
      <c r="D102" s="17">
        <f>SUM(D96:D101)</f>
        <v>76.600000000000009</v>
      </c>
    </row>
    <row r="105" spans="1:4" x14ac:dyDescent="0.2">
      <c r="A105" s="96" t="s">
        <v>86</v>
      </c>
      <c r="B105" s="96"/>
      <c r="C105" s="96"/>
      <c r="D105" s="96"/>
    </row>
    <row r="106" spans="1:4" x14ac:dyDescent="0.2">
      <c r="A106" s="3"/>
    </row>
    <row r="107" spans="1:4" x14ac:dyDescent="0.2">
      <c r="A107" s="32" t="s">
        <v>53</v>
      </c>
      <c r="B107" s="97" t="s">
        <v>87</v>
      </c>
      <c r="C107" s="97"/>
      <c r="D107" s="32" t="s">
        <v>3</v>
      </c>
    </row>
    <row r="108" spans="1:4" x14ac:dyDescent="0.2">
      <c r="A108" s="34" t="s">
        <v>4</v>
      </c>
      <c r="B108" s="107" t="s">
        <v>88</v>
      </c>
      <c r="C108" s="108"/>
      <c r="D108" s="13">
        <f>((D26+D75+D87)/220)*22*0</f>
        <v>0</v>
      </c>
    </row>
    <row r="109" spans="1:4" x14ac:dyDescent="0.2">
      <c r="A109" s="98" t="s">
        <v>16</v>
      </c>
      <c r="B109" s="98"/>
      <c r="C109" s="98"/>
      <c r="D109" s="17">
        <f>SUM(D108)</f>
        <v>0</v>
      </c>
    </row>
    <row r="112" spans="1:4" x14ac:dyDescent="0.2">
      <c r="A112" s="96" t="s">
        <v>54</v>
      </c>
      <c r="B112" s="96"/>
      <c r="C112" s="96"/>
      <c r="D112" s="96"/>
    </row>
    <row r="113" spans="1:4" x14ac:dyDescent="0.2">
      <c r="A113" s="3"/>
    </row>
    <row r="114" spans="1:4" x14ac:dyDescent="0.2">
      <c r="A114" s="32">
        <v>4</v>
      </c>
      <c r="B114" s="98" t="s">
        <v>55</v>
      </c>
      <c r="C114" s="98"/>
      <c r="D114" s="32" t="s">
        <v>3</v>
      </c>
    </row>
    <row r="115" spans="1:4" x14ac:dyDescent="0.2">
      <c r="A115" s="34" t="s">
        <v>52</v>
      </c>
      <c r="B115" s="100" t="s">
        <v>79</v>
      </c>
      <c r="C115" s="100"/>
      <c r="D115" s="14">
        <f>D102</f>
        <v>76.600000000000009</v>
      </c>
    </row>
    <row r="116" spans="1:4" x14ac:dyDescent="0.2">
      <c r="A116" s="34" t="s">
        <v>53</v>
      </c>
      <c r="B116" s="100" t="s">
        <v>87</v>
      </c>
      <c r="C116" s="100"/>
      <c r="D116" s="14">
        <f>D109</f>
        <v>0</v>
      </c>
    </row>
    <row r="117" spans="1:4" x14ac:dyDescent="0.2">
      <c r="A117" s="98" t="s">
        <v>16</v>
      </c>
      <c r="B117" s="98"/>
      <c r="C117" s="98"/>
      <c r="D117" s="17">
        <f>SUM(D115:D116)</f>
        <v>76.600000000000009</v>
      </c>
    </row>
    <row r="120" spans="1:4" x14ac:dyDescent="0.2">
      <c r="A120" s="99" t="s">
        <v>56</v>
      </c>
      <c r="B120" s="99"/>
      <c r="C120" s="99"/>
      <c r="D120" s="99"/>
    </row>
    <row r="122" spans="1:4" x14ac:dyDescent="0.2">
      <c r="A122" s="32">
        <v>5</v>
      </c>
      <c r="B122" s="109" t="s">
        <v>57</v>
      </c>
      <c r="C122" s="109"/>
      <c r="D122" s="32" t="s">
        <v>3</v>
      </c>
    </row>
    <row r="123" spans="1:4" x14ac:dyDescent="0.2">
      <c r="A123" s="34" t="s">
        <v>4</v>
      </c>
      <c r="B123" s="100" t="s">
        <v>58</v>
      </c>
      <c r="C123" s="100"/>
      <c r="D123" s="13">
        <v>151.96</v>
      </c>
    </row>
    <row r="124" spans="1:4" x14ac:dyDescent="0.2">
      <c r="A124" s="34" t="s">
        <v>6</v>
      </c>
      <c r="B124" s="100" t="s">
        <v>59</v>
      </c>
      <c r="C124" s="100"/>
      <c r="D124" s="13">
        <v>2.2599999999999998</v>
      </c>
    </row>
    <row r="125" spans="1:4" x14ac:dyDescent="0.2">
      <c r="A125" s="34" t="s">
        <v>8</v>
      </c>
      <c r="B125" s="100" t="s">
        <v>60</v>
      </c>
      <c r="C125" s="100"/>
      <c r="D125" s="13">
        <v>21.12</v>
      </c>
    </row>
    <row r="126" spans="1:4" x14ac:dyDescent="0.2">
      <c r="A126" s="34" t="s">
        <v>10</v>
      </c>
      <c r="B126" s="100" t="s">
        <v>180</v>
      </c>
      <c r="C126" s="100"/>
      <c r="D126" s="13">
        <v>93.59</v>
      </c>
    </row>
    <row r="127" spans="1:4" x14ac:dyDescent="0.2">
      <c r="A127" s="93" t="s">
        <v>12</v>
      </c>
      <c r="B127" s="100" t="s">
        <v>208</v>
      </c>
      <c r="C127" s="100"/>
      <c r="D127" s="13">
        <v>84</v>
      </c>
    </row>
    <row r="128" spans="1:4" x14ac:dyDescent="0.2">
      <c r="A128" s="98" t="s">
        <v>36</v>
      </c>
      <c r="B128" s="98"/>
      <c r="C128" s="98"/>
      <c r="D128" s="18">
        <f>SUM(D123:D127)</f>
        <v>352.93</v>
      </c>
    </row>
    <row r="131" spans="1:4" x14ac:dyDescent="0.2">
      <c r="A131" s="99" t="s">
        <v>61</v>
      </c>
      <c r="B131" s="99"/>
      <c r="C131" s="99"/>
      <c r="D131" s="99"/>
    </row>
    <row r="133" spans="1:4" x14ac:dyDescent="0.2">
      <c r="A133" s="32">
        <v>6</v>
      </c>
      <c r="B133" s="33" t="s">
        <v>62</v>
      </c>
      <c r="C133" s="32" t="s">
        <v>25</v>
      </c>
      <c r="D133" s="32" t="s">
        <v>3</v>
      </c>
    </row>
    <row r="134" spans="1:4" x14ac:dyDescent="0.2">
      <c r="A134" s="34" t="s">
        <v>4</v>
      </c>
      <c r="B134" s="31" t="s">
        <v>63</v>
      </c>
      <c r="C134" s="9">
        <v>0.06</v>
      </c>
      <c r="D134" s="14">
        <f>D154*C134</f>
        <v>263.850909</v>
      </c>
    </row>
    <row r="135" spans="1:4" x14ac:dyDescent="0.2">
      <c r="A135" s="34" t="s">
        <v>6</v>
      </c>
      <c r="B135" s="31" t="s">
        <v>64</v>
      </c>
      <c r="C135" s="9">
        <v>6.7900000000000002E-2</v>
      </c>
      <c r="D135" s="13">
        <f>(D154+D134)*C135</f>
        <v>316.50675540610001</v>
      </c>
    </row>
    <row r="136" spans="1:4" x14ac:dyDescent="0.2">
      <c r="A136" s="34" t="s">
        <v>8</v>
      </c>
      <c r="B136" s="31" t="s">
        <v>65</v>
      </c>
      <c r="C136" s="12">
        <f>SUM(C137:C142)</f>
        <v>8.6499999999999994E-2</v>
      </c>
      <c r="D136" s="13">
        <f>(D154+D134+D135)*C136/(1-C136)</f>
        <v>471.35850951957042</v>
      </c>
    </row>
    <row r="137" spans="1:4" x14ac:dyDescent="0.2">
      <c r="A137" s="34"/>
      <c r="B137" s="31" t="s">
        <v>66</v>
      </c>
      <c r="C137" s="9"/>
      <c r="D137" s="14">
        <f>$D$156*C137</f>
        <v>0</v>
      </c>
    </row>
    <row r="138" spans="1:4" x14ac:dyDescent="0.2">
      <c r="A138" s="34"/>
      <c r="B138" s="31" t="s">
        <v>96</v>
      </c>
      <c r="C138" s="9">
        <v>6.4999999999999997E-3</v>
      </c>
      <c r="D138" s="14">
        <f t="shared" ref="D138:D142" si="3">$D$156*C138</f>
        <v>35.420003605516861</v>
      </c>
    </row>
    <row r="139" spans="1:4" x14ac:dyDescent="0.2">
      <c r="A139" s="34"/>
      <c r="B139" s="31" t="s">
        <v>97</v>
      </c>
      <c r="C139" s="9">
        <v>0.03</v>
      </c>
      <c r="D139" s="14">
        <f t="shared" si="3"/>
        <v>163.47693971777014</v>
      </c>
    </row>
    <row r="140" spans="1:4" x14ac:dyDescent="0.2">
      <c r="A140" s="34"/>
      <c r="B140" s="31" t="s">
        <v>67</v>
      </c>
      <c r="C140" s="34"/>
      <c r="D140" s="14">
        <f t="shared" si="3"/>
        <v>0</v>
      </c>
    </row>
    <row r="141" spans="1:4" x14ac:dyDescent="0.2">
      <c r="A141" s="34"/>
      <c r="B141" s="31" t="s">
        <v>68</v>
      </c>
      <c r="C141" s="9"/>
      <c r="D141" s="14">
        <f t="shared" si="3"/>
        <v>0</v>
      </c>
    </row>
    <row r="142" spans="1:4" x14ac:dyDescent="0.2">
      <c r="A142" s="34"/>
      <c r="B142" s="31" t="s">
        <v>98</v>
      </c>
      <c r="C142" s="9">
        <v>0.05</v>
      </c>
      <c r="D142" s="14">
        <f t="shared" si="3"/>
        <v>272.46156619628357</v>
      </c>
    </row>
    <row r="143" spans="1:4" ht="13.5" x14ac:dyDescent="0.2">
      <c r="A143" s="101" t="s">
        <v>36</v>
      </c>
      <c r="B143" s="110"/>
      <c r="C143" s="19">
        <f>(1+C135)*(1+C134)/(1-C136)-1</f>
        <v>0.2391614668856048</v>
      </c>
      <c r="D143" s="17">
        <f>SUM(D134:D136)</f>
        <v>1051.7161739256703</v>
      </c>
    </row>
    <row r="146" spans="1:4" x14ac:dyDescent="0.2">
      <c r="A146" s="99" t="s">
        <v>69</v>
      </c>
      <c r="B146" s="99"/>
      <c r="C146" s="99"/>
      <c r="D146" s="99"/>
    </row>
    <row r="148" spans="1:4" x14ac:dyDescent="0.2">
      <c r="A148" s="32"/>
      <c r="B148" s="98" t="s">
        <v>70</v>
      </c>
      <c r="C148" s="98"/>
      <c r="D148" s="32" t="s">
        <v>3</v>
      </c>
    </row>
    <row r="149" spans="1:4" x14ac:dyDescent="0.2">
      <c r="A149" s="32" t="s">
        <v>4</v>
      </c>
      <c r="B149" s="100" t="s">
        <v>1</v>
      </c>
      <c r="C149" s="100"/>
      <c r="D149" s="20">
        <f>D26</f>
        <v>1912.586</v>
      </c>
    </row>
    <row r="150" spans="1:4" x14ac:dyDescent="0.2">
      <c r="A150" s="32" t="s">
        <v>6</v>
      </c>
      <c r="B150" s="100" t="s">
        <v>17</v>
      </c>
      <c r="C150" s="100"/>
      <c r="D150" s="20">
        <f>D75</f>
        <v>1937.60915</v>
      </c>
    </row>
    <row r="151" spans="1:4" x14ac:dyDescent="0.2">
      <c r="A151" s="32" t="s">
        <v>8</v>
      </c>
      <c r="B151" s="100" t="s">
        <v>44</v>
      </c>
      <c r="C151" s="100"/>
      <c r="D151" s="20">
        <f>D87</f>
        <v>117.78999999999999</v>
      </c>
    </row>
    <row r="152" spans="1:4" x14ac:dyDescent="0.2">
      <c r="A152" s="32" t="s">
        <v>10</v>
      </c>
      <c r="B152" s="100" t="s">
        <v>51</v>
      </c>
      <c r="C152" s="100"/>
      <c r="D152" s="20">
        <f>D117</f>
        <v>76.600000000000009</v>
      </c>
    </row>
    <row r="153" spans="1:4" x14ac:dyDescent="0.2">
      <c r="A153" s="32" t="s">
        <v>12</v>
      </c>
      <c r="B153" s="100" t="s">
        <v>56</v>
      </c>
      <c r="C153" s="100"/>
      <c r="D153" s="20">
        <f>D128</f>
        <v>352.93</v>
      </c>
    </row>
    <row r="154" spans="1:4" x14ac:dyDescent="0.2">
      <c r="A154" s="98" t="s">
        <v>95</v>
      </c>
      <c r="B154" s="98"/>
      <c r="C154" s="98"/>
      <c r="D154" s="21">
        <f>SUM(D149:D153)</f>
        <v>4397.5151500000002</v>
      </c>
    </row>
    <row r="155" spans="1:4" x14ac:dyDescent="0.2">
      <c r="A155" s="32" t="s">
        <v>31</v>
      </c>
      <c r="B155" s="100" t="s">
        <v>71</v>
      </c>
      <c r="C155" s="100"/>
      <c r="D155" s="22">
        <f>D143</f>
        <v>1051.7161739256703</v>
      </c>
    </row>
    <row r="156" spans="1:4" x14ac:dyDescent="0.2">
      <c r="A156" s="98" t="s">
        <v>72</v>
      </c>
      <c r="B156" s="98"/>
      <c r="C156" s="98"/>
      <c r="D156" s="21">
        <f>SUM(D154:D155)</f>
        <v>5449.2313239256709</v>
      </c>
    </row>
  </sheetData>
  <mergeCells count="80">
    <mergeCell ref="A154:C154"/>
    <mergeCell ref="B155:C155"/>
    <mergeCell ref="A156:C156"/>
    <mergeCell ref="B148:C148"/>
    <mergeCell ref="B149:C149"/>
    <mergeCell ref="B150:C150"/>
    <mergeCell ref="B151:C151"/>
    <mergeCell ref="B152:C152"/>
    <mergeCell ref="B153:C153"/>
    <mergeCell ref="A146:D146"/>
    <mergeCell ref="A109:C109"/>
    <mergeCell ref="A112:D112"/>
    <mergeCell ref="B114:C114"/>
    <mergeCell ref="B115:C115"/>
    <mergeCell ref="B116:C116"/>
    <mergeCell ref="A117:C117"/>
    <mergeCell ref="A120:D120"/>
    <mergeCell ref="B122:C122"/>
    <mergeCell ref="A128:C128"/>
    <mergeCell ref="A131:D131"/>
    <mergeCell ref="A143:B143"/>
    <mergeCell ref="B123:C123"/>
    <mergeCell ref="B124:C124"/>
    <mergeCell ref="B125:C125"/>
    <mergeCell ref="B126:C126"/>
    <mergeCell ref="B108:C108"/>
    <mergeCell ref="B74:C74"/>
    <mergeCell ref="A75:C75"/>
    <mergeCell ref="A78:D78"/>
    <mergeCell ref="B80:C80"/>
    <mergeCell ref="A87:C87"/>
    <mergeCell ref="A90:D90"/>
    <mergeCell ref="A93:D93"/>
    <mergeCell ref="B95:C95"/>
    <mergeCell ref="A102:C102"/>
    <mergeCell ref="A105:D105"/>
    <mergeCell ref="B107:C107"/>
    <mergeCell ref="B73:C73"/>
    <mergeCell ref="B59:C59"/>
    <mergeCell ref="B60:C60"/>
    <mergeCell ref="B61:C61"/>
    <mergeCell ref="B62:C62"/>
    <mergeCell ref="A66:C66"/>
    <mergeCell ref="A69:D69"/>
    <mergeCell ref="B71:C71"/>
    <mergeCell ref="B72:C72"/>
    <mergeCell ref="B63:C63"/>
    <mergeCell ref="B64:C64"/>
    <mergeCell ref="B65:C65"/>
    <mergeCell ref="B21:C21"/>
    <mergeCell ref="B22:C22"/>
    <mergeCell ref="B23:C23"/>
    <mergeCell ref="B58:C58"/>
    <mergeCell ref="B25:C25"/>
    <mergeCell ref="A26:C26"/>
    <mergeCell ref="A29:D29"/>
    <mergeCell ref="A31:D31"/>
    <mergeCell ref="B33:C33"/>
    <mergeCell ref="A37:B37"/>
    <mergeCell ref="A40:D40"/>
    <mergeCell ref="A51:B51"/>
    <mergeCell ref="A54:D54"/>
    <mergeCell ref="B56:C56"/>
    <mergeCell ref="B57:C57"/>
    <mergeCell ref="B127:C127"/>
    <mergeCell ref="C10:D10"/>
    <mergeCell ref="A1:D1"/>
    <mergeCell ref="A3:D3"/>
    <mergeCell ref="A5:B5"/>
    <mergeCell ref="A6:B6"/>
    <mergeCell ref="A8:D8"/>
    <mergeCell ref="B24:C24"/>
    <mergeCell ref="C11:D11"/>
    <mergeCell ref="C12:D12"/>
    <mergeCell ref="C13:D13"/>
    <mergeCell ref="C14:D14"/>
    <mergeCell ref="A16:D16"/>
    <mergeCell ref="B18:C18"/>
    <mergeCell ref="B19:C19"/>
    <mergeCell ref="B20:C20"/>
  </mergeCells>
  <pageMargins left="0.511811024" right="0.511811024" top="0.78740157499999996" bottom="0.78740157499999996" header="0.31496062000000002" footer="0.31496062000000002"/>
  <pageSetup paperSize="9" scale="84"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17</vt:i4>
      </vt:variant>
      <vt:variant>
        <vt:lpstr>Intervalos nomeados</vt:lpstr>
      </vt:variant>
      <vt:variant>
        <vt:i4>8</vt:i4>
      </vt:variant>
    </vt:vector>
  </HeadingPairs>
  <TitlesOfParts>
    <vt:vector size="25" baseType="lpstr">
      <vt:lpstr>superv44</vt:lpstr>
      <vt:lpstr>fiscal1236d</vt:lpstr>
      <vt:lpstr>fiscal1236n</vt:lpstr>
      <vt:lpstr>vig44ssasoc</vt:lpstr>
      <vt:lpstr>vig1236dssa</vt:lpstr>
      <vt:lpstr>vig1236nssa</vt:lpstr>
      <vt:lpstr>vig44int</vt:lpstr>
      <vt:lpstr>vig1236nint</vt:lpstr>
      <vt:lpstr>vig1236dint</vt:lpstr>
      <vt:lpstr>vig44ssatat_ad</vt:lpstr>
      <vt:lpstr>vig44int_ad</vt:lpstr>
      <vt:lpstr>vig1236dint_ad</vt:lpstr>
      <vt:lpstr>vig1236nint_ad</vt:lpstr>
      <vt:lpstr>horaextra</vt:lpstr>
      <vt:lpstr>total_proposta</vt:lpstr>
      <vt:lpstr>horaextra2026</vt:lpstr>
      <vt:lpstr>total_apos24meses</vt:lpstr>
      <vt:lpstr>horaextra!Area_de_impressao</vt:lpstr>
      <vt:lpstr>horaextra2026!Area_de_impressao</vt:lpstr>
      <vt:lpstr>total_apos24meses!Area_de_impressao</vt:lpstr>
      <vt:lpstr>total_proposta!Area_de_impressao</vt:lpstr>
      <vt:lpstr>horaextra!Titulos_de_impressao</vt:lpstr>
      <vt:lpstr>horaextra2026!Titulos_de_impressao</vt:lpstr>
      <vt:lpstr>total_apos24meses!Titulos_de_impressao</vt:lpstr>
      <vt:lpstr>total_proposta!Titulos_de_impressao</vt:lpstr>
    </vt:vector>
  </TitlesOfParts>
  <Company>Justiça Eleitoral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Marconni Rodrigues de Alcantara Santos</dc:creator>
  <cp:lastModifiedBy>Marconni Rodrigues de Alcantara Santos</cp:lastModifiedBy>
  <cp:lastPrinted>2024-05-18T14:21:01Z</cp:lastPrinted>
  <dcterms:created xsi:type="dcterms:W3CDTF">2019-01-29T18:54:26Z</dcterms:created>
  <dcterms:modified xsi:type="dcterms:W3CDTF">2024-08-31T14:50:06Z</dcterms:modified>
</cp:coreProperties>
</file>