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9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TOTAL" sheetId="5" r:id="rId10"/>
    <sheet name="menores" sheetId="6" r:id="rId11"/>
  </sheets>
  <definedNames>
    <definedName name="_xlnm.Print_Area" localSheetId="10">menores!$A$1:$F$21</definedName>
    <definedName name="_xlnm.Print_Area" localSheetId="9">TOTAL!$A$1:$F$22</definedName>
  </definedNames>
  <calcPr calcId="145621"/>
</workbook>
</file>

<file path=xl/calcChain.xml><?xml version="1.0" encoding="utf-8"?>
<calcChain xmlns="http://schemas.openxmlformats.org/spreadsheetml/2006/main">
  <c r="F21" i="5" l="1"/>
  <c r="D3" i="40"/>
  <c r="D3" i="39"/>
  <c r="D3" i="38"/>
  <c r="D3" i="75"/>
  <c r="D3" i="74"/>
  <c r="D3" i="73"/>
  <c r="D3" i="72"/>
  <c r="D3" i="71"/>
  <c r="D3" i="70" l="1"/>
  <c r="C20" i="6" l="1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F3" i="73"/>
  <c r="E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I9" i="72"/>
  <c r="I8" i="72"/>
  <c r="I7" i="72"/>
  <c r="F3" i="72"/>
  <c r="E8" i="6" s="1"/>
  <c r="H20" i="71"/>
  <c r="G20" i="71" s="1"/>
  <c r="B5" i="6" s="1"/>
  <c r="F20" i="71"/>
  <c r="D20" i="71"/>
  <c r="B20" i="71"/>
  <c r="A20" i="71" s="1"/>
  <c r="C20" i="71" s="1"/>
  <c r="I6" i="71" s="1"/>
  <c r="I17" i="71"/>
  <c r="I16" i="71"/>
  <c r="I15" i="71"/>
  <c r="I14" i="71"/>
  <c r="I13" i="71"/>
  <c r="I12" i="71"/>
  <c r="I11" i="71"/>
  <c r="I10" i="71"/>
  <c r="I9" i="71"/>
  <c r="I8" i="71"/>
  <c r="I7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F3" i="40"/>
  <c r="E20" i="6" s="1"/>
  <c r="H20" i="39"/>
  <c r="G20" i="39" s="1"/>
  <c r="B17" i="6" s="1"/>
  <c r="F20" i="39"/>
  <c r="D20" i="39"/>
  <c r="B20" i="39"/>
  <c r="A20" i="39" s="1"/>
  <c r="C20" i="39" s="1"/>
  <c r="I6" i="39" s="1"/>
  <c r="I17" i="39"/>
  <c r="I16" i="39"/>
  <c r="I15" i="39"/>
  <c r="I14" i="39"/>
  <c r="I13" i="39"/>
  <c r="I12" i="39"/>
  <c r="I11" i="39"/>
  <c r="I10" i="39"/>
  <c r="I9" i="39"/>
  <c r="I8" i="39"/>
  <c r="I7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E16" i="6" s="1"/>
  <c r="C20" i="72" l="1"/>
  <c r="I6" i="72" s="1"/>
  <c r="F16" i="6"/>
  <c r="F8" i="6"/>
  <c r="F6" i="6"/>
  <c r="F20" i="6"/>
  <c r="F12" i="6"/>
  <c r="F18" i="6"/>
  <c r="F14" i="6"/>
  <c r="F10" i="6"/>
  <c r="I3" i="71"/>
  <c r="E20" i="71" s="1"/>
  <c r="I4" i="71"/>
  <c r="I5" i="71"/>
  <c r="A20" i="73"/>
  <c r="C20" i="73" s="1"/>
  <c r="I6" i="73" s="1"/>
  <c r="A20" i="75"/>
  <c r="C20" i="75" s="1"/>
  <c r="I6" i="75" s="1"/>
  <c r="A20" i="70"/>
  <c r="C20" i="70" s="1"/>
  <c r="I6" i="70" s="1"/>
  <c r="A20" i="74"/>
  <c r="C20" i="74" s="1"/>
  <c r="I6" i="74" s="1"/>
  <c r="I5" i="39"/>
  <c r="I4" i="39"/>
  <c r="I3" i="39"/>
  <c r="E20" i="39" s="1"/>
  <c r="E3" i="39" s="1"/>
  <c r="E19" i="5" s="1"/>
  <c r="F19" i="5" s="1"/>
  <c r="A20" i="38"/>
  <c r="C20" i="38" s="1"/>
  <c r="I6" i="38" s="1"/>
  <c r="A20" i="40"/>
  <c r="C20" i="40" s="1"/>
  <c r="I6" i="40" s="1"/>
  <c r="F4" i="6"/>
  <c r="I5" i="72" l="1"/>
  <c r="I3" i="72"/>
  <c r="E20" i="72" s="1"/>
  <c r="I4" i="72"/>
  <c r="F21" i="6"/>
  <c r="I5" i="73"/>
  <c r="I4" i="73"/>
  <c r="I3" i="73"/>
  <c r="E20" i="73" s="1"/>
  <c r="I3" i="75"/>
  <c r="E20" i="75" s="1"/>
  <c r="I5" i="75"/>
  <c r="I4" i="75"/>
  <c r="H22" i="71"/>
  <c r="H23" i="71" s="1"/>
  <c r="E3" i="71"/>
  <c r="E13" i="5" s="1"/>
  <c r="F13" i="5" s="1"/>
  <c r="I4" i="74"/>
  <c r="I5" i="74"/>
  <c r="I3" i="74"/>
  <c r="E20" i="74" s="1"/>
  <c r="H22" i="74" s="1"/>
  <c r="H23" i="74" s="1"/>
  <c r="I4" i="70"/>
  <c r="I5" i="70"/>
  <c r="I3" i="70"/>
  <c r="E20" i="70" s="1"/>
  <c r="E3" i="70" s="1"/>
  <c r="E12" i="5" s="1"/>
  <c r="F12" i="5" s="1"/>
  <c r="I4" i="38"/>
  <c r="I3" i="38"/>
  <c r="I5" i="38"/>
  <c r="I5" i="40"/>
  <c r="I4" i="40"/>
  <c r="I3" i="40"/>
  <c r="H22" i="39"/>
  <c r="H23" i="39" s="1"/>
  <c r="E20" i="40" l="1"/>
  <c r="E3" i="40" s="1"/>
  <c r="E20" i="5" s="1"/>
  <c r="F20" i="5" s="1"/>
  <c r="E20" i="38"/>
  <c r="H22" i="38" s="1"/>
  <c r="H23" i="38" s="1"/>
  <c r="E3" i="74"/>
  <c r="E16" i="5" s="1"/>
  <c r="F16" i="5" s="1"/>
  <c r="E3" i="72"/>
  <c r="E14" i="5" s="1"/>
  <c r="F14" i="5" s="1"/>
  <c r="H22" i="72"/>
  <c r="H23" i="72" s="1"/>
  <c r="E3" i="73"/>
  <c r="E15" i="5" s="1"/>
  <c r="F15" i="5" s="1"/>
  <c r="H22" i="73"/>
  <c r="H23" i="73" s="1"/>
  <c r="H22" i="75"/>
  <c r="H23" i="75" s="1"/>
  <c r="E3" i="75"/>
  <c r="E17" i="5" s="1"/>
  <c r="F17" i="5" s="1"/>
  <c r="H22" i="70"/>
  <c r="H23" i="70" s="1"/>
  <c r="H22" i="40" l="1"/>
  <c r="H23" i="40" s="1"/>
  <c r="E3" i="38"/>
  <c r="E18" i="5" s="1"/>
  <c r="F18" i="5" s="1"/>
  <c r="F22" i="5" l="1"/>
</calcChain>
</file>

<file path=xl/sharedStrings.xml><?xml version="1.0" encoding="utf-8"?>
<sst xmlns="http://schemas.openxmlformats.org/spreadsheetml/2006/main" count="314" uniqueCount="62">
  <si>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</si>
  <si>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</si>
  <si>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</si>
  <si>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</si>
  <si>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</si>
  <si>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</si>
  <si>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</si>
  <si>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</si>
  <si>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</si>
  <si>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</si>
  <si>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</si>
  <si>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</si>
  <si>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</si>
  <si>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</si>
  <si>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</si>
  <si>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</si>
  <si>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</si>
  <si>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</si>
  <si>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</si>
  <si>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</si>
  <si>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</si>
  <si>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</si>
  <si>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</si>
  <si>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</si>
  <si>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</si>
  <si>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</si>
  <si>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</si>
  <si>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</si>
  <si>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</si>
  <si>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</si>
  <si>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</si>
  <si>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</si>
  <si>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</si>
  <si>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</si>
  <si>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</si>
  <si>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</si>
  <si>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</si>
  <si>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</si>
  <si>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</si>
  <si>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</si>
  <si>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</si>
  <si>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</si>
  <si>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</si>
  <si>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</si>
  <si>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Extintor de incêndio tipo AP, 10 litros</t>
  </si>
  <si>
    <t>UN</t>
  </si>
  <si>
    <t>SANTOLIN EXTINTORES LTDA</t>
  </si>
  <si>
    <t>TATICA VITAL SERVICOS LTDA</t>
  </si>
  <si>
    <t>APAG FIRE EQUIPAMENTOS DE COMBATE A INCENDIO LTDA</t>
  </si>
  <si>
    <t>DATAC COMERCIO E SERVICOS EIRELI</t>
  </si>
  <si>
    <t>Extintor de incêndio tipo CO2, 4 kg</t>
  </si>
  <si>
    <t>Extintor de incêndio tipo CO2, 6 kg</t>
  </si>
  <si>
    <t>Extintor de incêndio tipo PQS BC, 4 kg</t>
  </si>
  <si>
    <t>Extintor de incêndio tipo PQS BC, 6 kg</t>
  </si>
  <si>
    <t>Extintor de incêndio tipo PQS BC, 8 kg</t>
  </si>
  <si>
    <t>Extintor de incêndio tipo PQS ABC, 4 kg</t>
  </si>
  <si>
    <t>Extintor de incêndio tipo PQS ABC, 6 kg</t>
  </si>
  <si>
    <t>Extintor de incêndio tipo PQS ABC, 8 kg</t>
  </si>
  <si>
    <t>VALOR TOTAL ESTIMADO (24 meses)</t>
  </si>
  <si>
    <t>Quantidade Anual</t>
  </si>
  <si>
    <t>Valor Anual</t>
  </si>
  <si>
    <t>VALOR TOTAL ESTIMADO (12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</si>
</sst>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4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wrapText="1"/>
    </xf>
    <xf numFmtId="0" fontId="11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2847975</xdr:colOff>
      <xdr:row>0</xdr:row>
      <xdr:rowOff>0</xdr:rowOff>
    </xdr:from>
    <xdr:to>
      <xdr:col>2</xdr:col>
      <xdr:colOff>247649</xdr:colOff>
      <xdr:row>9</xdr:row>
      <xdr:rowOff>161925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0"/>
          <a:ext cx="3190874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44</v>
      </c>
      <c r="C3" s="62" t="s">
        <v>45</v>
      </c>
      <c r="D3" s="65">
        <f>130</f>
        <v>130</v>
      </c>
      <c r="E3" s="68">
        <f>IF(C20&lt;=25%,D20,MIN(E20:F20))</f>
        <v>46.99</v>
      </c>
      <c r="F3" s="68">
        <f>MIN(H3:H17)</f>
        <v>12.97</v>
      </c>
      <c r="G3" s="4" t="s">
        <v>46</v>
      </c>
      <c r="H3" s="13">
        <v>65</v>
      </c>
      <c r="I3" s="29">
        <f>IF(H3="","",(IF($C$20&lt;25%,"N/A",IF(H3&lt;=($D$20+$A$20),H3,"Descartado"))))</f>
        <v>65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40</v>
      </c>
      <c r="I4" s="29">
        <f t="shared" ref="I4:I17" si="0">IF(H4="","",(IF($C$20&lt;25%,"N/A",IF(H4&lt;=($D$20+$A$20),H4,"Descartado"))))</f>
        <v>40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12.97</v>
      </c>
      <c r="I5" s="29">
        <f t="shared" si="0"/>
        <v>12.97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70</v>
      </c>
      <c r="I6" s="29">
        <f t="shared" si="0"/>
        <v>70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26.204584045544401</v>
      </c>
      <c r="B20" s="19">
        <f>COUNT(H3:H17)</f>
        <v>4</v>
      </c>
      <c r="C20" s="20">
        <f>IF(B20&lt;2,"N/A",(A20/D20))</f>
        <v>0.55766299309522027</v>
      </c>
      <c r="D20" s="21">
        <f>ROUND(AVERAGE(H3:H17),2)</f>
        <v>46.99</v>
      </c>
      <c r="E20" s="22">
        <f>IFERROR(ROUND(IF(B20&lt;2,"N/A",(IF(C20&lt;=25%,"N/A",AVERAGE(I3:I17)))),2),"N/A")</f>
        <v>46.99</v>
      </c>
      <c r="F20" s="22">
        <f>ROUND(MEDIAN(H3:H17),2)</f>
        <v>52.5</v>
      </c>
      <c r="G20" s="23" t="str">
        <f>INDEX(G3:G17,MATCH(H20,H3:H17,0))</f>
        <v>APAG FIRE EQUIPAMENTOS DE COMBATE A INCENDIO LTDA</v>
      </c>
      <c r="H20" s="24">
        <f>MIN(H3:H17)</f>
        <v>12.97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46.99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6108.7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M22"/>
  <sheetViews>
    <sheetView tabSelected="1" view="pageBreakPreview" zoomScaleNormal="100" zoomScaleSheetLayoutView="100" workbookViewId="0">
      <selection activeCell="B20" sqref="A20:B20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3" width="9.140625" style="2"/>
    <col min="14" max="16384" width="9.140625" style="1"/>
  </cols>
  <sheetData>
    <row r="10" spans="1:6" ht="15.75">
      <c r="A10" s="71" t="s">
        <v>13</v>
      </c>
      <c r="B10" s="71"/>
      <c r="C10" s="71"/>
      <c r="D10" s="71"/>
      <c r="E10" s="71"/>
      <c r="F10" s="71"/>
    </row>
    <row r="11" spans="1:6" ht="25.5">
      <c r="A11" s="40" t="s">
        <v>14</v>
      </c>
      <c r="B11" s="40" t="s">
        <v>15</v>
      </c>
      <c r="C11" s="40" t="s">
        <v>16</v>
      </c>
      <c r="D11" s="40" t="s">
        <v>59</v>
      </c>
      <c r="E11" s="40" t="s">
        <v>12</v>
      </c>
      <c r="F11" s="40" t="s">
        <v>60</v>
      </c>
    </row>
    <row r="12" spans="1:6">
      <c r="A12" s="41">
        <v>1</v>
      </c>
      <c r="B12" s="42" t="str">
        <f>Item1!B3</f>
        <v>Extintor de incêndio tipo AP, 10 litros</v>
      </c>
      <c r="C12" s="41" t="str">
        <f>Item1!C3</f>
        <v>UN</v>
      </c>
      <c r="D12" s="41">
        <f>Item1!D3</f>
        <v>130</v>
      </c>
      <c r="E12" s="43">
        <f>Item1!E3</f>
        <v>46.99</v>
      </c>
      <c r="F12" s="43">
        <f t="shared" ref="F12:F21" si="0">(ROUND(E12,2)*D12)</f>
        <v>6108.7</v>
      </c>
    </row>
    <row r="13" spans="1:6">
      <c r="A13" s="41">
        <v>2</v>
      </c>
      <c r="B13" s="42" t="str">
        <f>Item2!B3</f>
        <v>Extintor de incêndio tipo CO2, 4 kg</v>
      </c>
      <c r="C13" s="41" t="str">
        <f>Item2!C3</f>
        <v>UN</v>
      </c>
      <c r="D13" s="41">
        <f>Item2!D3</f>
        <v>1</v>
      </c>
      <c r="E13" s="43">
        <f>Item2!E3</f>
        <v>101.2</v>
      </c>
      <c r="F13" s="43">
        <f t="shared" si="0"/>
        <v>101.2</v>
      </c>
    </row>
    <row r="14" spans="1:6">
      <c r="A14" s="41">
        <v>3</v>
      </c>
      <c r="B14" s="42" t="str">
        <f>Item3!B3</f>
        <v>Extintor de incêndio tipo CO2, 6 kg</v>
      </c>
      <c r="C14" s="41" t="str">
        <f>Item3!C3</f>
        <v>UN</v>
      </c>
      <c r="D14" s="41">
        <f>Item3!D3</f>
        <v>105</v>
      </c>
      <c r="E14" s="43">
        <f>Item3!E3</f>
        <v>116.67</v>
      </c>
      <c r="F14" s="43">
        <f t="shared" si="0"/>
        <v>12250.35</v>
      </c>
    </row>
    <row r="15" spans="1:6">
      <c r="A15" s="41">
        <v>4</v>
      </c>
      <c r="B15" s="42" t="str">
        <f>Item4!B3</f>
        <v>Extintor de incêndio tipo PQS BC, 4 kg</v>
      </c>
      <c r="C15" s="41" t="str">
        <f>Item4!C3</f>
        <v>UN</v>
      </c>
      <c r="D15" s="41">
        <f>Item4!D3</f>
        <v>7</v>
      </c>
      <c r="E15" s="43">
        <f>Item4!E3</f>
        <v>58.18</v>
      </c>
      <c r="F15" s="43">
        <f t="shared" si="0"/>
        <v>407.26</v>
      </c>
    </row>
    <row r="16" spans="1:6">
      <c r="A16" s="41">
        <v>5</v>
      </c>
      <c r="B16" s="42" t="str">
        <f>Item5!B3</f>
        <v>Extintor de incêndio tipo PQS BC, 6 kg</v>
      </c>
      <c r="C16" s="41" t="str">
        <f>Item5!C3</f>
        <v>UN</v>
      </c>
      <c r="D16" s="41">
        <f>Item5!D3</f>
        <v>52</v>
      </c>
      <c r="E16" s="43">
        <f>Item5!E3</f>
        <v>69.94</v>
      </c>
      <c r="F16" s="43">
        <f t="shared" si="0"/>
        <v>3636.88</v>
      </c>
    </row>
    <row r="17" spans="1:6">
      <c r="A17" s="41">
        <v>6</v>
      </c>
      <c r="B17" s="42" t="str">
        <f>Item6!B3</f>
        <v>Extintor de incêndio tipo PQS BC, 8 kg</v>
      </c>
      <c r="C17" s="41" t="str">
        <f>Item6!C3</f>
        <v>UN</v>
      </c>
      <c r="D17" s="41">
        <f>Item6!D3</f>
        <v>41</v>
      </c>
      <c r="E17" s="43">
        <f>Item6!E3</f>
        <v>81.99</v>
      </c>
      <c r="F17" s="43">
        <f t="shared" si="0"/>
        <v>3361.5899999999997</v>
      </c>
    </row>
    <row r="18" spans="1:6">
      <c r="A18" s="41">
        <v>7</v>
      </c>
      <c r="B18" s="42" t="str">
        <f>Item7!B3</f>
        <v>Extintor de incêndio tipo PQS ABC, 4 kg</v>
      </c>
      <c r="C18" s="41" t="str">
        <f>Item7!C3</f>
        <v>UN</v>
      </c>
      <c r="D18" s="41">
        <f>Item7!D3</f>
        <v>365</v>
      </c>
      <c r="E18" s="43">
        <f>Item7!E3</f>
        <v>63.78</v>
      </c>
      <c r="F18" s="43">
        <f t="shared" si="0"/>
        <v>23279.7</v>
      </c>
    </row>
    <row r="19" spans="1:6">
      <c r="A19" s="41">
        <v>8</v>
      </c>
      <c r="B19" s="42" t="str">
        <f>Item8!B3</f>
        <v>Extintor de incêndio tipo PQS ABC, 6 kg</v>
      </c>
      <c r="C19" s="41" t="str">
        <f>Item8!C3</f>
        <v>UN</v>
      </c>
      <c r="D19" s="41">
        <f>Item8!D3</f>
        <v>7</v>
      </c>
      <c r="E19" s="43">
        <f>Item8!E3</f>
        <v>72.67</v>
      </c>
      <c r="F19" s="43">
        <f t="shared" si="0"/>
        <v>508.69</v>
      </c>
    </row>
    <row r="20" spans="1:6">
      <c r="A20" s="82">
        <v>9</v>
      </c>
      <c r="B20" s="83" t="str">
        <f>Item9!B3</f>
        <v>Extintor de incêndio tipo PQS ABC, 8 kg</v>
      </c>
      <c r="C20" s="41" t="str">
        <f>Item9!C3</f>
        <v>UN</v>
      </c>
      <c r="D20" s="41">
        <f>Item9!D3</f>
        <v>27</v>
      </c>
      <c r="E20" s="43">
        <f>Item9!E3</f>
        <v>78.599999999999994</v>
      </c>
      <c r="F20" s="43">
        <f t="shared" si="0"/>
        <v>2122.1999999999998</v>
      </c>
    </row>
    <row r="21" spans="1:6" ht="15.75">
      <c r="A21" s="81"/>
      <c r="B21" s="81"/>
      <c r="C21" s="72" t="s">
        <v>61</v>
      </c>
      <c r="D21" s="73"/>
      <c r="E21" s="74"/>
      <c r="F21" s="39">
        <f>SUM(F12:F20)</f>
        <v>51776.57</v>
      </c>
    </row>
    <row r="22" spans="1:6" ht="15.75">
      <c r="A22" s="81"/>
      <c r="B22" s="81"/>
      <c r="C22" s="72" t="s">
        <v>58</v>
      </c>
      <c r="D22" s="73"/>
      <c r="E22" s="74"/>
      <c r="F22" s="39">
        <f>SUM(F12:F21)</f>
        <v>103553.14</v>
      </c>
    </row>
  </sheetData>
  <mergeCells count="3">
    <mergeCell ref="A10:F10"/>
    <mergeCell ref="C22:E22"/>
    <mergeCell ref="C21:E21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Normal="100" zoomScaleSheetLayoutView="100" workbookViewId="0">
      <selection activeCell="B28" sqref="B28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1" t="s">
        <v>19</v>
      </c>
      <c r="B1" s="71"/>
      <c r="C1" s="71"/>
      <c r="D1" s="71"/>
      <c r="E1" s="71"/>
      <c r="F1" s="71"/>
    </row>
    <row r="2" spans="1:6" s="2" customFormat="1" ht="25.5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</row>
    <row r="3" spans="1:6" s="2" customFormat="1" ht="17.25">
      <c r="A3" s="44" t="s">
        <v>20</v>
      </c>
      <c r="B3" s="75" t="str">
        <f>Item1!G20</f>
        <v>APAG FIRE EQUIPAMENTOS DE COMBATE A INCENDIO LTDA</v>
      </c>
      <c r="C3" s="76"/>
      <c r="D3" s="76"/>
      <c r="E3" s="76"/>
      <c r="F3" s="77"/>
    </row>
    <row r="4" spans="1:6" s="2" customFormat="1">
      <c r="A4" s="41">
        <v>1</v>
      </c>
      <c r="B4" s="42" t="str">
        <f>Item1!B3</f>
        <v>Extintor de incêndio tipo AP, 10 litros</v>
      </c>
      <c r="C4" s="41" t="str">
        <f>Item1!C3</f>
        <v>UN</v>
      </c>
      <c r="D4" s="41">
        <f>Item1!D3</f>
        <v>130</v>
      </c>
      <c r="E4" s="43">
        <f>Item1!F3</f>
        <v>12.97</v>
      </c>
      <c r="F4" s="43">
        <f>(ROUND(E4,2)*D4)</f>
        <v>1686.1000000000001</v>
      </c>
    </row>
    <row r="5" spans="1:6" s="2" customFormat="1" ht="17.25">
      <c r="A5" s="44" t="s">
        <v>20</v>
      </c>
      <c r="B5" s="75" t="str">
        <f>Item2!G20</f>
        <v>APAG FIRE EQUIPAMENTOS DE COMBATE A INCENDIO LTDA</v>
      </c>
      <c r="C5" s="76"/>
      <c r="D5" s="76"/>
      <c r="E5" s="76"/>
      <c r="F5" s="77"/>
    </row>
    <row r="6" spans="1:6" ht="17.25" customHeight="1">
      <c r="A6" s="41">
        <v>2</v>
      </c>
      <c r="B6" s="42" t="str">
        <f>Item2!B3</f>
        <v>Extintor de incêndio tipo CO2, 4 kg</v>
      </c>
      <c r="C6" s="41" t="str">
        <f>Item2!C3</f>
        <v>UN</v>
      </c>
      <c r="D6" s="41">
        <f>Item2!D3</f>
        <v>1</v>
      </c>
      <c r="E6" s="43">
        <f>Item2!F3</f>
        <v>64.61</v>
      </c>
      <c r="F6" s="43">
        <f>(ROUND(E6,2)*D6)</f>
        <v>64.61</v>
      </c>
    </row>
    <row r="7" spans="1:6" ht="17.25">
      <c r="A7" s="44" t="s">
        <v>20</v>
      </c>
      <c r="B7" s="78" t="str">
        <f>Item3!G20</f>
        <v>APAG FIRE EQUIPAMENTOS DE COMBATE A INCENDIO LTDA</v>
      </c>
      <c r="C7" s="79"/>
      <c r="D7" s="79"/>
      <c r="E7" s="79"/>
      <c r="F7" s="80"/>
    </row>
    <row r="8" spans="1:6" ht="21.75" customHeight="1">
      <c r="A8" s="41">
        <v>3</v>
      </c>
      <c r="B8" s="42" t="str">
        <f>Item3!B3</f>
        <v>Extintor de incêndio tipo CO2, 6 kg</v>
      </c>
      <c r="C8" s="41" t="str">
        <f>Item3!C3</f>
        <v>UN</v>
      </c>
      <c r="D8" s="41">
        <f>Item3!D3</f>
        <v>105</v>
      </c>
      <c r="E8" s="43">
        <f>Item3!F3</f>
        <v>71.010000000000005</v>
      </c>
      <c r="F8" s="43">
        <f>(ROUND(E8,2)*D8)</f>
        <v>7456.05</v>
      </c>
    </row>
    <row r="9" spans="1:6" ht="12.75" customHeight="1">
      <c r="A9" s="44" t="s">
        <v>20</v>
      </c>
      <c r="B9" s="78" t="str">
        <f>Item4!G20</f>
        <v>APAG FIRE EQUIPAMENTOS DE COMBATE A INCENDIO LTDA</v>
      </c>
      <c r="C9" s="79"/>
      <c r="D9" s="79"/>
      <c r="E9" s="79"/>
      <c r="F9" s="80"/>
    </row>
    <row r="10" spans="1:6">
      <c r="A10" s="41">
        <v>4</v>
      </c>
      <c r="B10" s="42" t="str">
        <f>Item4!B3</f>
        <v>Extintor de incêndio tipo PQS BC, 4 kg</v>
      </c>
      <c r="C10" s="41" t="str">
        <f>Item4!C3</f>
        <v>UN</v>
      </c>
      <c r="D10" s="41">
        <f>Item4!D3</f>
        <v>7</v>
      </c>
      <c r="E10" s="43">
        <f>Item4!F3</f>
        <v>22.72</v>
      </c>
      <c r="F10" s="43">
        <f>(ROUND(E10,2)*D10)</f>
        <v>159.04</v>
      </c>
    </row>
    <row r="11" spans="1:6" ht="17.25">
      <c r="A11" s="44" t="s">
        <v>20</v>
      </c>
      <c r="B11" s="75" t="str">
        <f>Item5!G20</f>
        <v>APAG FIRE EQUIPAMENTOS DE COMBATE A INCENDIO LTDA</v>
      </c>
      <c r="C11" s="76"/>
      <c r="D11" s="76"/>
      <c r="E11" s="76"/>
      <c r="F11" s="77"/>
    </row>
    <row r="12" spans="1:6">
      <c r="A12" s="41">
        <v>5</v>
      </c>
      <c r="B12" s="42" t="str">
        <f>Item5!B3</f>
        <v>Extintor de incêndio tipo PQS BC, 6 kg</v>
      </c>
      <c r="C12" s="41" t="str">
        <f>Item5!C3</f>
        <v>UN</v>
      </c>
      <c r="D12" s="41">
        <f>Item5!D3</f>
        <v>52</v>
      </c>
      <c r="E12" s="43">
        <f>Item5!F3</f>
        <v>29.77</v>
      </c>
      <c r="F12" s="43">
        <f>(ROUND(E12,2)*D12)</f>
        <v>1548.04</v>
      </c>
    </row>
    <row r="13" spans="1:6" ht="17.25">
      <c r="A13" s="44" t="s">
        <v>20</v>
      </c>
      <c r="B13" s="75" t="str">
        <f>Item6!G20</f>
        <v>APAG FIRE EQUIPAMENTOS DE COMBATE A INCENDIO LTDA</v>
      </c>
      <c r="C13" s="76"/>
      <c r="D13" s="76"/>
      <c r="E13" s="76"/>
      <c r="F13" s="77"/>
    </row>
    <row r="14" spans="1:6">
      <c r="A14" s="41">
        <v>6</v>
      </c>
      <c r="B14" s="42" t="str">
        <f>Item6!B3</f>
        <v>Extintor de incêndio tipo PQS BC, 8 kg</v>
      </c>
      <c r="C14" s="41" t="str">
        <f>Item6!C3</f>
        <v>UN</v>
      </c>
      <c r="D14" s="41">
        <f>Item6!D3</f>
        <v>41</v>
      </c>
      <c r="E14" s="43">
        <f>Item6!F3</f>
        <v>42.95</v>
      </c>
      <c r="F14" s="43">
        <f>(ROUND(E14,2)*D14)</f>
        <v>1760.95</v>
      </c>
    </row>
    <row r="15" spans="1:6" ht="17.25">
      <c r="A15" s="44" t="s">
        <v>20</v>
      </c>
      <c r="B15" s="75" t="str">
        <f>Item7!G20</f>
        <v>APAG FIRE EQUIPAMENTOS DE COMBATE A INCENDIO LTDA</v>
      </c>
      <c r="C15" s="76"/>
      <c r="D15" s="76"/>
      <c r="E15" s="76"/>
      <c r="F15" s="77"/>
    </row>
    <row r="16" spans="1:6">
      <c r="A16" s="41">
        <v>7</v>
      </c>
      <c r="B16" s="42" t="str">
        <f>Item7!B3</f>
        <v>Extintor de incêndio tipo PQS ABC, 4 kg</v>
      </c>
      <c r="C16" s="41" t="str">
        <f>Item7!C3</f>
        <v>UN</v>
      </c>
      <c r="D16" s="41">
        <f>Item7!D3</f>
        <v>365</v>
      </c>
      <c r="E16" s="43">
        <f>Item7!F3</f>
        <v>41.34</v>
      </c>
      <c r="F16" s="43">
        <f>(ROUND(E16,2)*D16)</f>
        <v>15089.1</v>
      </c>
    </row>
    <row r="17" spans="1:6" ht="17.25">
      <c r="A17" s="44" t="s">
        <v>20</v>
      </c>
      <c r="B17" s="75" t="str">
        <f>Item8!G20</f>
        <v>APAG FIRE EQUIPAMENTOS DE COMBATE A INCENDIO LTDA</v>
      </c>
      <c r="C17" s="76"/>
      <c r="D17" s="76"/>
      <c r="E17" s="76"/>
      <c r="F17" s="77"/>
    </row>
    <row r="18" spans="1:6">
      <c r="A18" s="41">
        <v>8</v>
      </c>
      <c r="B18" s="42" t="str">
        <f>Item8!B3</f>
        <v>Extintor de incêndio tipo PQS ABC, 6 kg</v>
      </c>
      <c r="C18" s="41" t="str">
        <f>Item8!C3</f>
        <v>UN</v>
      </c>
      <c r="D18" s="41">
        <f>Item8!D3</f>
        <v>7</v>
      </c>
      <c r="E18" s="43">
        <f>Item8!F3</f>
        <v>48</v>
      </c>
      <c r="F18" s="43">
        <f>(ROUND(E18,2)*D18)</f>
        <v>336</v>
      </c>
    </row>
    <row r="19" spans="1:6" ht="17.25">
      <c r="A19" s="44" t="s">
        <v>20</v>
      </c>
      <c r="B19" s="75" t="str">
        <f>Item9!G20</f>
        <v>APAG FIRE EQUIPAMENTOS DE COMBATE A INCENDIO LTDA</v>
      </c>
      <c r="C19" s="76"/>
      <c r="D19" s="76"/>
      <c r="E19" s="76"/>
      <c r="F19" s="77"/>
    </row>
    <row r="20" spans="1:6">
      <c r="A20" s="41">
        <v>9</v>
      </c>
      <c r="B20" s="42" t="str">
        <f>Item9!B3</f>
        <v>Extintor de incêndio tipo PQS ABC, 8 kg</v>
      </c>
      <c r="C20" s="41" t="str">
        <f>Item9!C3</f>
        <v>UN</v>
      </c>
      <c r="D20" s="41">
        <f>Item9!D3</f>
        <v>27</v>
      </c>
      <c r="E20" s="43">
        <f>Item9!F3</f>
        <v>50.81</v>
      </c>
      <c r="F20" s="43">
        <f>(ROUND(E20,2)*D20)</f>
        <v>1371.8700000000001</v>
      </c>
    </row>
    <row r="21" spans="1:6" ht="15.75">
      <c r="A21" s="38"/>
      <c r="B21" s="38"/>
      <c r="C21" s="72" t="s">
        <v>21</v>
      </c>
      <c r="D21" s="73"/>
      <c r="E21" s="74"/>
      <c r="F21" s="39">
        <f>SUM(F4:F20)</f>
        <v>29471.759999999998</v>
      </c>
    </row>
  </sheetData>
  <mergeCells count="11">
    <mergeCell ref="A1:F1"/>
    <mergeCell ref="B3:F3"/>
    <mergeCell ref="C21:E21"/>
    <mergeCell ref="B5:F5"/>
    <mergeCell ref="B7:F7"/>
    <mergeCell ref="B9:F9"/>
    <mergeCell ref="B11:F11"/>
    <mergeCell ref="B13:F13"/>
    <mergeCell ref="B15:F15"/>
    <mergeCell ref="B17:F17"/>
    <mergeCell ref="B19:F19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50</v>
      </c>
      <c r="C3" s="62" t="s">
        <v>45</v>
      </c>
      <c r="D3" s="65">
        <f>1</f>
        <v>1</v>
      </c>
      <c r="E3" s="68">
        <f>IF(C20&lt;=25%,D20,MIN(E20:F20))</f>
        <v>101.2</v>
      </c>
      <c r="F3" s="68">
        <f>MIN(H3:H17)</f>
        <v>64.61</v>
      </c>
      <c r="G3" s="4" t="s">
        <v>46</v>
      </c>
      <c r="H3" s="13">
        <v>139</v>
      </c>
      <c r="I3" s="29">
        <f>IF(H3="","",(IF($C$20&lt;25%,"N/A",IF(H3&lt;=($D$20+$A$20),H3,"Descartado"))))</f>
        <v>139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100</v>
      </c>
      <c r="I4" s="29">
        <f t="shared" ref="I4:I17" si="0">IF(H4="","",(IF($C$20&lt;25%,"N/A",IF(H4&lt;=($D$20+$A$20),H4,"Descartado"))))</f>
        <v>100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64.61</v>
      </c>
      <c r="I5" s="29">
        <f t="shared" si="0"/>
        <v>64.61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160</v>
      </c>
      <c r="I6" s="29" t="str">
        <f t="shared" si="0"/>
        <v>Descartado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42.276447639318029</v>
      </c>
      <c r="B20" s="19">
        <f>COUNT(H3:H17)</f>
        <v>4</v>
      </c>
      <c r="C20" s="20">
        <f>IF(B20&lt;2,"N/A",(A20/D20))</f>
        <v>0.36476658877754986</v>
      </c>
      <c r="D20" s="21">
        <f>ROUND(AVERAGE(H3:H17),2)</f>
        <v>115.9</v>
      </c>
      <c r="E20" s="22">
        <f>IFERROR(ROUND(IF(B20&lt;2,"N/A",(IF(C20&lt;=25%,"N/A",AVERAGE(I3:I17)))),2),"N/A")</f>
        <v>101.2</v>
      </c>
      <c r="F20" s="22">
        <f>ROUND(MEDIAN(H3:H17),2)</f>
        <v>119.5</v>
      </c>
      <c r="G20" s="23" t="str">
        <f>INDEX(G3:G17,MATCH(H20,H3:H17,0))</f>
        <v>APAG FIRE EQUIPAMENTOS DE COMBATE A INCENDIO LTDA</v>
      </c>
      <c r="H20" s="24">
        <f>MIN(H3:H17)</f>
        <v>64.61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101.2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101.2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51</v>
      </c>
      <c r="C3" s="62" t="s">
        <v>45</v>
      </c>
      <c r="D3" s="65">
        <f>105</f>
        <v>105</v>
      </c>
      <c r="E3" s="68">
        <f>IF(C20&lt;=25%,D20,MIN(E20:F20))</f>
        <v>116.67</v>
      </c>
      <c r="F3" s="68">
        <f>MIN(H3:H17)</f>
        <v>71.010000000000005</v>
      </c>
      <c r="G3" s="4" t="s">
        <v>46</v>
      </c>
      <c r="H3" s="13">
        <v>149</v>
      </c>
      <c r="I3" s="29">
        <f>IF(H3="","",(IF($C$20&lt;25%,"N/A",IF(H3&lt;=($D$20+$A$20),H3,"Descartado"))))</f>
        <v>149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130</v>
      </c>
      <c r="I4" s="29">
        <f t="shared" ref="I4:I17" si="0">IF(H4="","",(IF($C$20&lt;25%,"N/A",IF(H4&lt;=($D$20+$A$20),H4,"Descartado"))))</f>
        <v>130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71.010000000000005</v>
      </c>
      <c r="I5" s="29">
        <f t="shared" si="0"/>
        <v>71.010000000000005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195</v>
      </c>
      <c r="I6" s="29" t="str">
        <f t="shared" si="0"/>
        <v>Descartado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51.346681408506527</v>
      </c>
      <c r="B20" s="19">
        <f>COUNT(H3:H17)</f>
        <v>4</v>
      </c>
      <c r="C20" s="20">
        <f>IF(B20&lt;2,"N/A",(A20/D20))</f>
        <v>0.37685637731013966</v>
      </c>
      <c r="D20" s="21">
        <f>ROUND(AVERAGE(H3:H17),2)</f>
        <v>136.25</v>
      </c>
      <c r="E20" s="22">
        <f>IFERROR(ROUND(IF(B20&lt;2,"N/A",(IF(C20&lt;=25%,"N/A",AVERAGE(I3:I17)))),2),"N/A")</f>
        <v>116.67</v>
      </c>
      <c r="F20" s="22">
        <f>ROUND(MEDIAN(H3:H17),2)</f>
        <v>139.5</v>
      </c>
      <c r="G20" s="23" t="str">
        <f>INDEX(G3:G17,MATCH(H20,H3:H17,0))</f>
        <v>APAG FIRE EQUIPAMENTOS DE COMBATE A INCENDIO LTDA</v>
      </c>
      <c r="H20" s="24">
        <f>MIN(H3:H17)</f>
        <v>71.010000000000005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116.67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12250.35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52</v>
      </c>
      <c r="C3" s="62" t="s">
        <v>45</v>
      </c>
      <c r="D3" s="65">
        <f>7</f>
        <v>7</v>
      </c>
      <c r="E3" s="68">
        <f>IF(C20&lt;=25%,D20,MIN(E20:F20))</f>
        <v>58.18</v>
      </c>
      <c r="F3" s="68">
        <f>MIN(H3:H17)</f>
        <v>22.72</v>
      </c>
      <c r="G3" s="4" t="s">
        <v>46</v>
      </c>
      <c r="H3" s="13">
        <v>70</v>
      </c>
      <c r="I3" s="29">
        <f>IF(H3="","",(IF($C$20&lt;25%,"N/A",IF(H3&lt;=($D$20+$A$20),H3,"Descartado"))))</f>
        <v>70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60</v>
      </c>
      <c r="I4" s="29">
        <f t="shared" ref="I4:I17" si="0">IF(H4="","",(IF($C$20&lt;25%,"N/A",IF(H4&lt;=($D$20+$A$20),H4,"Descartado"))))</f>
        <v>60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22.72</v>
      </c>
      <c r="I5" s="29">
        <f t="shared" si="0"/>
        <v>22.72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80</v>
      </c>
      <c r="I6" s="29">
        <f t="shared" si="0"/>
        <v>80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25.010323201963349</v>
      </c>
      <c r="B20" s="19">
        <f>COUNT(H3:H17)</f>
        <v>4</v>
      </c>
      <c r="C20" s="20">
        <f>IF(B20&lt;2,"N/A",(A20/D20))</f>
        <v>0.42987836373261168</v>
      </c>
      <c r="D20" s="21">
        <f>ROUND(AVERAGE(H3:H17),2)</f>
        <v>58.18</v>
      </c>
      <c r="E20" s="22">
        <f>IFERROR(ROUND(IF(B20&lt;2,"N/A",(IF(C20&lt;=25%,"N/A",AVERAGE(I3:I17)))),2),"N/A")</f>
        <v>58.18</v>
      </c>
      <c r="F20" s="22">
        <f>ROUND(MEDIAN(H3:H17),2)</f>
        <v>65</v>
      </c>
      <c r="G20" s="23" t="str">
        <f>INDEX(G3:G17,MATCH(H20,H3:H17,0))</f>
        <v>APAG FIRE EQUIPAMENTOS DE COMBATE A INCENDIO LTDA</v>
      </c>
      <c r="H20" s="24">
        <f>MIN(H3:H17)</f>
        <v>22.72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58.18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407.26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C3" sqref="C3:C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39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53</v>
      </c>
      <c r="C3" s="62" t="s">
        <v>45</v>
      </c>
      <c r="D3" s="65">
        <f>52</f>
        <v>52</v>
      </c>
      <c r="E3" s="68">
        <f>IF(C20&lt;=25%,D20,MIN(E20:F20))</f>
        <v>69.94</v>
      </c>
      <c r="F3" s="68">
        <f>MIN(H3:H17)</f>
        <v>29.77</v>
      </c>
      <c r="G3" s="4" t="s">
        <v>46</v>
      </c>
      <c r="H3" s="13">
        <v>90</v>
      </c>
      <c r="I3" s="29">
        <f>IF(H3="","",(IF($C$20&lt;25%,"N/A",IF(H3&lt;=($D$20+$A$20),H3,"Descartado"))))</f>
        <v>90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70</v>
      </c>
      <c r="I4" s="29">
        <f t="shared" ref="I4:I17" si="0">IF(H4="","",(IF($C$20&lt;25%,"N/A",IF(H4&lt;=($D$20+$A$20),H4,"Descartado"))))</f>
        <v>70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29.77</v>
      </c>
      <c r="I5" s="29">
        <f t="shared" si="0"/>
        <v>29.77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90</v>
      </c>
      <c r="I6" s="29">
        <f t="shared" si="0"/>
        <v>90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28.392720164389566</v>
      </c>
      <c r="B20" s="19">
        <f>COUNT(H3:H17)</f>
        <v>4</v>
      </c>
      <c r="C20" s="20">
        <f>IF(B20&lt;2,"N/A",(A20/D20))</f>
        <v>0.40595825227894722</v>
      </c>
      <c r="D20" s="21">
        <f>ROUND(AVERAGE(H3:H17),2)</f>
        <v>69.94</v>
      </c>
      <c r="E20" s="22">
        <f>IFERROR(ROUND(IF(B20&lt;2,"N/A",(IF(C20&lt;=25%,"N/A",AVERAGE(I3:I17)))),2),"N/A")</f>
        <v>69.94</v>
      </c>
      <c r="F20" s="22">
        <f>ROUND(MEDIAN(H3:H17),2)</f>
        <v>80</v>
      </c>
      <c r="G20" s="23" t="str">
        <f>INDEX(G3:G17,MATCH(H20,H3:H17,0))</f>
        <v>APAG FIRE EQUIPAMENTOS DE COMBATE A INCENDIO LTDA</v>
      </c>
      <c r="H20" s="24">
        <f>MIN(H3:H17)</f>
        <v>29.77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69.94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3636.88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15" sqref="L1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40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54</v>
      </c>
      <c r="C3" s="62" t="s">
        <v>45</v>
      </c>
      <c r="D3" s="65">
        <f>41</f>
        <v>41</v>
      </c>
      <c r="E3" s="68">
        <f>IF(C20&lt;=25%,D20,MIN(E20:F20))</f>
        <v>81.99</v>
      </c>
      <c r="F3" s="68">
        <f>MIN(H3:H17)</f>
        <v>42.95</v>
      </c>
      <c r="G3" s="4" t="s">
        <v>46</v>
      </c>
      <c r="H3" s="13">
        <v>95</v>
      </c>
      <c r="I3" s="29">
        <f>IF(H3="","",(IF($C$20&lt;25%,"N/A",IF(H3&lt;=($D$20+$A$20),H3,"Descartado"))))</f>
        <v>95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80</v>
      </c>
      <c r="I4" s="29">
        <f t="shared" ref="I4:I17" si="0">IF(H4="","",(IF($C$20&lt;25%,"N/A",IF(H4&lt;=($D$20+$A$20),H4,"Descartado"))))</f>
        <v>80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42.95</v>
      </c>
      <c r="I5" s="29">
        <f t="shared" si="0"/>
        <v>42.95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110</v>
      </c>
      <c r="I6" s="29">
        <f t="shared" si="0"/>
        <v>110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28.762834091931897</v>
      </c>
      <c r="B20" s="19">
        <f>COUNT(H3:H17)</f>
        <v>4</v>
      </c>
      <c r="C20" s="20">
        <f>IF(B20&lt;2,"N/A",(A20/D20))</f>
        <v>0.35080905100538967</v>
      </c>
      <c r="D20" s="21">
        <f>ROUND(AVERAGE(H3:H17),2)</f>
        <v>81.99</v>
      </c>
      <c r="E20" s="22">
        <f>IFERROR(ROUND(IF(B20&lt;2,"N/A",(IF(C20&lt;=25%,"N/A",AVERAGE(I3:I17)))),2),"N/A")</f>
        <v>81.99</v>
      </c>
      <c r="F20" s="22">
        <f>ROUND(MEDIAN(H3:H17),2)</f>
        <v>87.5</v>
      </c>
      <c r="G20" s="23" t="str">
        <f>INDEX(G3:G17,MATCH(H20,H3:H17,0))</f>
        <v>APAG FIRE EQUIPAMENTOS DE COMBATE A INCENDIO LTDA</v>
      </c>
      <c r="H20" s="24">
        <f>MIN(H3:H17)</f>
        <v>42.95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81.99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3361.5899999999997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41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55</v>
      </c>
      <c r="C3" s="62" t="s">
        <v>45</v>
      </c>
      <c r="D3" s="65">
        <f>365</f>
        <v>365</v>
      </c>
      <c r="E3" s="68">
        <f>IF(C20&lt;=25%,D20,MIN(E20:F20))</f>
        <v>63.78</v>
      </c>
      <c r="F3" s="68">
        <f>MIN(H3:H17)</f>
        <v>41.34</v>
      </c>
      <c r="G3" s="4" t="s">
        <v>46</v>
      </c>
      <c r="H3" s="13">
        <v>80</v>
      </c>
      <c r="I3" s="29">
        <f>IF(H3="","",(IF($C$20&lt;25%,"N/A",IF(H3&lt;=($D$20+$A$20),H3,"Descartado"))))</f>
        <v>80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70</v>
      </c>
      <c r="I4" s="29">
        <f t="shared" ref="I4:I17" si="0">IF(H4="","",(IF($C$20&lt;25%,"N/A",IF(H4&lt;=($D$20+$A$20),H4,"Descartado"))))</f>
        <v>70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41.34</v>
      </c>
      <c r="I5" s="29">
        <f t="shared" si="0"/>
        <v>41.34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140</v>
      </c>
      <c r="I6" s="29" t="str">
        <f t="shared" si="0"/>
        <v>Descartado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41.482714070642309</v>
      </c>
      <c r="B20" s="19">
        <f>COUNT(H3:H17)</f>
        <v>4</v>
      </c>
      <c r="C20" s="20">
        <f>IF(B20&lt;2,"N/A",(A20/D20))</f>
        <v>0.50075705058718378</v>
      </c>
      <c r="D20" s="21">
        <f>ROUND(AVERAGE(H3:H17),2)</f>
        <v>82.84</v>
      </c>
      <c r="E20" s="22">
        <f>IFERROR(ROUND(IF(B20&lt;2,"N/A",(IF(C20&lt;=25%,"N/A",AVERAGE(I3:I17)))),2),"N/A")</f>
        <v>63.78</v>
      </c>
      <c r="F20" s="22">
        <f>ROUND(MEDIAN(H3:H17),2)</f>
        <v>75</v>
      </c>
      <c r="G20" s="23" t="str">
        <f>INDEX(G3:G17,MATCH(H20,H3:H17,0))</f>
        <v>APAG FIRE EQUIPAMENTOS DE COMBATE A INCENDIO LTDA</v>
      </c>
      <c r="H20" s="24">
        <f>MIN(H3:H17)</f>
        <v>41.34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63.78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23279.7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42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56</v>
      </c>
      <c r="C3" s="62" t="s">
        <v>45</v>
      </c>
      <c r="D3" s="65">
        <f>7</f>
        <v>7</v>
      </c>
      <c r="E3" s="68">
        <f>IF(C20&lt;=25%,D20,MIN(E20:F20))</f>
        <v>72.67</v>
      </c>
      <c r="F3" s="68">
        <f>MIN(H3:H17)</f>
        <v>48</v>
      </c>
      <c r="G3" s="4" t="s">
        <v>46</v>
      </c>
      <c r="H3" s="13">
        <v>90</v>
      </c>
      <c r="I3" s="29">
        <f>IF(H3="","",(IF($C$20&lt;25%,"N/A",IF(H3&lt;=($D$20+$A$20),H3,"Descartado"))))</f>
        <v>90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80</v>
      </c>
      <c r="I4" s="29">
        <f t="shared" ref="I4:I17" si="0">IF(H4="","",(IF($C$20&lt;25%,"N/A",IF(H4&lt;=($D$20+$A$20),H4,"Descartado"))))</f>
        <v>80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48</v>
      </c>
      <c r="I5" s="29">
        <f t="shared" si="0"/>
        <v>48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150</v>
      </c>
      <c r="I6" s="29" t="str">
        <f t="shared" si="0"/>
        <v>Descartado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42.614551505325032</v>
      </c>
      <c r="B20" s="19">
        <f>COUNT(H3:H17)</f>
        <v>4</v>
      </c>
      <c r="C20" s="20">
        <f>IF(B20&lt;2,"N/A",(A20/D20))</f>
        <v>0.4632016467970112</v>
      </c>
      <c r="D20" s="21">
        <f>ROUND(AVERAGE(H3:H17),2)</f>
        <v>92</v>
      </c>
      <c r="E20" s="22">
        <f>IFERROR(ROUND(IF(B20&lt;2,"N/A",(IF(C20&lt;=25%,"N/A",AVERAGE(I3:I17)))),2),"N/A")</f>
        <v>72.67</v>
      </c>
      <c r="F20" s="22">
        <f>ROUND(MEDIAN(H3:H17),2)</f>
        <v>85</v>
      </c>
      <c r="G20" s="23" t="str">
        <f>INDEX(G3:G17,MATCH(H20,H3:H17,0))</f>
        <v>APAG FIRE EQUIPAMENTOS DE COMBATE A INCENDIO LTDA</v>
      </c>
      <c r="H20" s="24">
        <f>MIN(H3:H17)</f>
        <v>48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72.67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508.69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5" t="s">
        <v>11</v>
      </c>
      <c r="B1" s="56"/>
      <c r="C1" s="56"/>
      <c r="D1" s="56"/>
      <c r="E1" s="56"/>
      <c r="F1" s="56"/>
      <c r="G1" s="56"/>
      <c r="H1" s="56"/>
      <c r="I1" s="57"/>
    </row>
    <row r="2" spans="1:9" ht="25.5">
      <c r="A2" s="58" t="s">
        <v>43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8"/>
      <c r="B3" s="59" t="s">
        <v>57</v>
      </c>
      <c r="C3" s="62" t="s">
        <v>45</v>
      </c>
      <c r="D3" s="65">
        <f>27</f>
        <v>27</v>
      </c>
      <c r="E3" s="68">
        <f>IF(C20&lt;=25%,D20,MIN(E20:F20))</f>
        <v>78.599999999999994</v>
      </c>
      <c r="F3" s="68">
        <f>MIN(H3:H17)</f>
        <v>50.81</v>
      </c>
      <c r="G3" s="4" t="s">
        <v>46</v>
      </c>
      <c r="H3" s="13">
        <v>95</v>
      </c>
      <c r="I3" s="29">
        <f>IF(H3="","",(IF($C$20&lt;25%,"N/A",IF(H3&lt;=($D$20+$A$20),H3,"Descartado"))))</f>
        <v>95</v>
      </c>
    </row>
    <row r="4" spans="1:9">
      <c r="A4" s="58"/>
      <c r="B4" s="60"/>
      <c r="C4" s="63"/>
      <c r="D4" s="66"/>
      <c r="E4" s="69"/>
      <c r="F4" s="69"/>
      <c r="G4" s="4" t="s">
        <v>47</v>
      </c>
      <c r="H4" s="13">
        <v>90</v>
      </c>
      <c r="I4" s="29">
        <f t="shared" ref="I4:I17" si="0">IF(H4="","",(IF($C$20&lt;25%,"N/A",IF(H4&lt;=($D$20+$A$20),H4,"Descartado"))))</f>
        <v>90</v>
      </c>
    </row>
    <row r="5" spans="1:9">
      <c r="A5" s="58"/>
      <c r="B5" s="60"/>
      <c r="C5" s="63"/>
      <c r="D5" s="66"/>
      <c r="E5" s="69"/>
      <c r="F5" s="69"/>
      <c r="G5" s="4" t="s">
        <v>48</v>
      </c>
      <c r="H5" s="13">
        <v>50.81</v>
      </c>
      <c r="I5" s="29">
        <f t="shared" si="0"/>
        <v>50.81</v>
      </c>
    </row>
    <row r="6" spans="1:9">
      <c r="A6" s="58"/>
      <c r="B6" s="60"/>
      <c r="C6" s="63"/>
      <c r="D6" s="66"/>
      <c r="E6" s="69"/>
      <c r="F6" s="69"/>
      <c r="G6" s="4" t="s">
        <v>49</v>
      </c>
      <c r="H6" s="13">
        <v>160</v>
      </c>
      <c r="I6" s="29" t="str">
        <f t="shared" si="0"/>
        <v>Descartado</v>
      </c>
    </row>
    <row r="7" spans="1:9">
      <c r="A7" s="58"/>
      <c r="B7" s="60"/>
      <c r="C7" s="63"/>
      <c r="D7" s="66"/>
      <c r="E7" s="69"/>
      <c r="F7" s="69"/>
      <c r="G7" s="4"/>
      <c r="H7" s="13"/>
      <c r="I7" s="29" t="str">
        <f t="shared" si="0"/>
        <v/>
      </c>
    </row>
    <row r="8" spans="1:9">
      <c r="A8" s="58"/>
      <c r="B8" s="60"/>
      <c r="C8" s="63"/>
      <c r="D8" s="66"/>
      <c r="E8" s="69"/>
      <c r="F8" s="69"/>
      <c r="G8" s="4"/>
      <c r="H8" s="13"/>
      <c r="I8" s="29" t="str">
        <f t="shared" si="0"/>
        <v/>
      </c>
    </row>
    <row r="9" spans="1:9">
      <c r="A9" s="58"/>
      <c r="B9" s="60"/>
      <c r="C9" s="63"/>
      <c r="D9" s="66"/>
      <c r="E9" s="69"/>
      <c r="F9" s="69"/>
      <c r="G9" s="4"/>
      <c r="H9" s="13"/>
      <c r="I9" s="29" t="str">
        <f t="shared" si="0"/>
        <v/>
      </c>
    </row>
    <row r="10" spans="1:9">
      <c r="A10" s="58"/>
      <c r="B10" s="60"/>
      <c r="C10" s="63"/>
      <c r="D10" s="66"/>
      <c r="E10" s="69"/>
      <c r="F10" s="69"/>
      <c r="G10" s="4"/>
      <c r="H10" s="13"/>
      <c r="I10" s="29" t="str">
        <f t="shared" si="0"/>
        <v/>
      </c>
    </row>
    <row r="11" spans="1:9">
      <c r="A11" s="58"/>
      <c r="B11" s="60"/>
      <c r="C11" s="63"/>
      <c r="D11" s="66"/>
      <c r="E11" s="69"/>
      <c r="F11" s="69"/>
      <c r="G11" s="4"/>
      <c r="H11" s="13"/>
      <c r="I11" s="29" t="str">
        <f t="shared" si="0"/>
        <v/>
      </c>
    </row>
    <row r="12" spans="1:9">
      <c r="A12" s="58"/>
      <c r="B12" s="60"/>
      <c r="C12" s="63"/>
      <c r="D12" s="66"/>
      <c r="E12" s="69"/>
      <c r="F12" s="69"/>
      <c r="G12" s="4"/>
      <c r="H12" s="13"/>
      <c r="I12" s="29" t="str">
        <f t="shared" si="0"/>
        <v/>
      </c>
    </row>
    <row r="13" spans="1:9">
      <c r="A13" s="58"/>
      <c r="B13" s="60"/>
      <c r="C13" s="63"/>
      <c r="D13" s="66"/>
      <c r="E13" s="69"/>
      <c r="F13" s="69"/>
      <c r="G13" s="4"/>
      <c r="H13" s="13"/>
      <c r="I13" s="29" t="str">
        <f t="shared" si="0"/>
        <v/>
      </c>
    </row>
    <row r="14" spans="1:9">
      <c r="A14" s="58"/>
      <c r="B14" s="60"/>
      <c r="C14" s="63"/>
      <c r="D14" s="66"/>
      <c r="E14" s="69"/>
      <c r="F14" s="69"/>
      <c r="G14" s="4"/>
      <c r="H14" s="13"/>
      <c r="I14" s="29" t="str">
        <f t="shared" si="0"/>
        <v/>
      </c>
    </row>
    <row r="15" spans="1:9">
      <c r="A15" s="58"/>
      <c r="B15" s="60"/>
      <c r="C15" s="63"/>
      <c r="D15" s="66"/>
      <c r="E15" s="69"/>
      <c r="F15" s="69"/>
      <c r="G15" s="4"/>
      <c r="H15" s="13"/>
      <c r="I15" s="29" t="str">
        <f t="shared" si="0"/>
        <v/>
      </c>
    </row>
    <row r="16" spans="1:9">
      <c r="A16" s="58"/>
      <c r="B16" s="60"/>
      <c r="C16" s="63"/>
      <c r="D16" s="66"/>
      <c r="E16" s="69"/>
      <c r="F16" s="69"/>
      <c r="G16" s="4"/>
      <c r="H16" s="13"/>
      <c r="I16" s="29" t="str">
        <f t="shared" si="0"/>
        <v/>
      </c>
    </row>
    <row r="17" spans="1:11">
      <c r="A17" s="58"/>
      <c r="B17" s="61"/>
      <c r="C17" s="64"/>
      <c r="D17" s="67"/>
      <c r="E17" s="70"/>
      <c r="F17" s="7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52" t="s">
        <v>32</v>
      </c>
      <c r="H19" s="53"/>
      <c r="I19" s="31"/>
    </row>
    <row r="20" spans="1:11">
      <c r="A20" s="19">
        <f>IF(B20&lt;2,"N/A",(STDEV(H3:H17)))</f>
        <v>45.241084112415621</v>
      </c>
      <c r="B20" s="19">
        <f>COUNT(H3:H17)</f>
        <v>4</v>
      </c>
      <c r="C20" s="20">
        <f>IF(B20&lt;2,"N/A",(A20/D20))</f>
        <v>0.45721156253072887</v>
      </c>
      <c r="D20" s="21">
        <f>ROUND(AVERAGE(H3:H17),2)</f>
        <v>98.95</v>
      </c>
      <c r="E20" s="22">
        <f>IFERROR(ROUND(IF(B20&lt;2,"N/A",(IF(C20&lt;=25%,"N/A",AVERAGE(I3:I17)))),2),"N/A")</f>
        <v>78.599999999999994</v>
      </c>
      <c r="F20" s="22">
        <f>ROUND(MEDIAN(H3:H17),2)</f>
        <v>92.5</v>
      </c>
      <c r="G20" s="23" t="str">
        <f>INDEX(G3:G17,MATCH(H20,H3:H17,0))</f>
        <v>APAG FIRE EQUIPAMENTOS DE COMBATE A INCENDIO LTDA</v>
      </c>
      <c r="H20" s="24">
        <f>MIN(H3:H17)</f>
        <v>50.81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4"/>
      <c r="E22" s="54"/>
      <c r="F22" s="35"/>
      <c r="G22" s="25" t="s">
        <v>35</v>
      </c>
      <c r="H22" s="26">
        <f>IF(C20&lt;=25%,D20,MIN(E20:F20))</f>
        <v>78.599999999999994</v>
      </c>
    </row>
    <row r="23" spans="1:11">
      <c r="B23" s="32"/>
      <c r="C23" s="32"/>
      <c r="D23" s="54"/>
      <c r="E23" s="54"/>
      <c r="F23" s="36"/>
      <c r="G23" s="27" t="s">
        <v>8</v>
      </c>
      <c r="H23" s="28">
        <f>ROUND(H22,2)*D3</f>
        <v>2122.1999999999998</v>
      </c>
    </row>
    <row r="24" spans="1:11">
      <c r="B24" s="37"/>
      <c r="C24" s="37"/>
      <c r="D24" s="31"/>
      <c r="E24" s="31"/>
    </row>
    <row r="26" spans="1:11">
      <c r="A26" s="46" t="s">
        <v>23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>
      <c r="A27" s="46" t="s">
        <v>24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>
      <c r="A28" s="46" t="s">
        <v>25</v>
      </c>
      <c r="B28" s="47"/>
      <c r="C28" s="47"/>
      <c r="D28" s="47"/>
      <c r="E28" s="47"/>
      <c r="F28" s="47"/>
      <c r="G28" s="47"/>
      <c r="H28" s="47"/>
      <c r="I28" s="48"/>
    </row>
    <row r="29" spans="1:11">
      <c r="A29" s="46" t="s">
        <v>26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>
      <c r="A30" s="46" t="s">
        <v>27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>
      <c r="A31" s="46" t="s">
        <v>28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>
      <c r="A32" s="49" t="s">
        <v>29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Mel Martins Ferreira Cruz</cp:lastModifiedBy>
  <cp:lastPrinted>2024-01-31T18:50:47Z</cp:lastPrinted>
  <dcterms:created xsi:type="dcterms:W3CDTF">2019-01-16T20:04:04Z</dcterms:created>
  <dcterms:modified xsi:type="dcterms:W3CDTF">2024-01-31T18:57:47Z</dcterms:modified>
</cp:coreProperties>
</file>