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3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total!$A$1:$G$27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34" i="23" l="1"/>
  <c r="C23" i="23" l="1"/>
  <c r="D23" i="23"/>
  <c r="E23" i="23"/>
  <c r="C24" i="23"/>
  <c r="D24" i="23"/>
  <c r="E24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29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14" i="18"/>
  <c r="I8" i="18"/>
  <c r="I10" i="18"/>
  <c r="I13" i="18"/>
  <c r="I7" i="18"/>
  <c r="I16" i="18"/>
  <c r="I12" i="18"/>
  <c r="I17" i="18"/>
  <c r="I11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3" i="9"/>
  <c r="I5" i="9"/>
  <c r="I11" i="9"/>
  <c r="I17" i="9"/>
  <c r="I15" i="6"/>
  <c r="I3" i="6"/>
  <c r="I14" i="6"/>
  <c r="I7" i="6"/>
  <c r="I17" i="6"/>
  <c r="I16" i="6"/>
  <c r="I12" i="6"/>
  <c r="I6" i="6"/>
  <c r="I5" i="6"/>
  <c r="I12" i="5"/>
  <c r="I17" i="5"/>
  <c r="I11" i="5"/>
  <c r="I16" i="5"/>
  <c r="I8" i="5"/>
  <c r="I13" i="5"/>
  <c r="I15" i="5"/>
  <c r="I14" i="5"/>
  <c r="A20" i="4"/>
  <c r="C20" i="4" s="1"/>
  <c r="C20" i="1"/>
  <c r="I3" i="18" l="1"/>
  <c r="I5" i="18"/>
  <c r="I6" i="16"/>
  <c r="E20" i="14"/>
  <c r="I6" i="9"/>
  <c r="E20" i="24"/>
  <c r="E3" i="24" s="1"/>
  <c r="F23" i="23" s="1"/>
  <c r="G23" i="23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E3" i="14"/>
  <c r="F14" i="23" s="1"/>
  <c r="G14" i="23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8" l="1"/>
  <c r="H22" i="18" s="1"/>
  <c r="H23" i="18" s="1"/>
  <c r="E20" i="12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16" i="23" s="1"/>
  <c r="G16" i="23" s="1"/>
  <c r="H22" i="12"/>
  <c r="H23" i="12" s="1"/>
  <c r="E3" i="12"/>
  <c r="F12" i="23" s="1"/>
  <c r="G12" i="23" s="1"/>
  <c r="E3" i="6"/>
  <c r="F6" i="23" s="1"/>
  <c r="G6" i="23" s="1"/>
  <c r="E20" i="5"/>
  <c r="E3" i="5" s="1"/>
  <c r="F5" i="23" s="1"/>
  <c r="G5" i="23" s="1"/>
  <c r="H22" i="30"/>
  <c r="H23" i="30" s="1"/>
  <c r="E3" i="29"/>
  <c r="E3" i="25"/>
  <c r="F24" i="23" s="1"/>
  <c r="G24" i="23" s="1"/>
  <c r="E3" i="22"/>
  <c r="F22" i="23" s="1"/>
  <c r="G22" i="23" s="1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E3" i="18" l="1"/>
  <c r="F18" i="23" s="1"/>
  <c r="G18" i="23" s="1"/>
  <c r="E3" i="20"/>
  <c r="F20" i="23" s="1"/>
  <c r="G20" i="23" s="1"/>
  <c r="E3" i="8"/>
  <c r="F8" i="23" s="1"/>
  <c r="G8" i="23" s="1"/>
  <c r="F33" i="23"/>
  <c r="E3" i="21"/>
  <c r="F21" i="23" s="1"/>
  <c r="G21" i="23" s="1"/>
  <c r="E3" i="19"/>
  <c r="F19" i="23" s="1"/>
  <c r="G19" i="23" s="1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F17" i="23" s="1"/>
  <c r="G17" i="23" s="1"/>
  <c r="E3" i="1"/>
  <c r="F3" i="23" s="1"/>
  <c r="G3" i="23" s="1"/>
  <c r="H22" i="1"/>
  <c r="H23" i="1" s="1"/>
  <c r="F32" i="23" l="1"/>
  <c r="F31" i="23"/>
  <c r="F27" i="23"/>
</calcChain>
</file>

<file path=xl/sharedStrings.xml><?xml version="1.0" encoding="utf-8"?>
<sst xmlns="http://schemas.openxmlformats.org/spreadsheetml/2006/main" count="910" uniqueCount="175">
  <si>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</si>
  <si>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</si>
  <si>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</si>
  <si>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</si>
  <si>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</si>
  <si>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</si>
  <si>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</si>
  <si>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</si>
  <si>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</si>
  <si>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</si>
  <si>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</si>
  <si>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</si>
  <si>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</si>
  <si>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</si>
  <si>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</si>
  <si>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</si>
  <si>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</si>
  <si>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</si>
  <si>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</si>
  <si>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</si>
  <si>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</si>
  <si>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</si>
  <si>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</si>
  <si>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</si>
  <si>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</si>
  <si>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</si>
  <si>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</si>
  <si>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</si>
  <si>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</si>
  <si>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</si>
  <si>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</si>
  <si>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</si>
  <si>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</si>
  <si>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</si>
  <si>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</si>
  <si>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</si>
  <si>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n/a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</si>
  <si>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</si>
  <si>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</si>
  <si>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</si>
  <si>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</si>
  <si>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</si>
  <si>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</si>
  <si>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</si>
  <si>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</si>
  <si>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</si>
  <si>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</si>
  <si>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</si>
  <si>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</si>
  <si>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</si>
  <si>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</si>
  <si>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</si>
  <si>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</si>
  <si>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</si>
  <si>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</si>
  <si>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</si>
  <si>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Cabo de rede UTP - Categoria 6
Especificações técnicas:
• Cabo de 4 pares trançados compostos por condutores sólidos de cobre, 23AWG, isolados em polietileno de alta densidade;
• Capa externa em PVC não propagante a chama;
• Cor azul;
• Acondicionado em caixa de papelão tipo fastbox (305 metros), com nome do fabricante e sistema de rastreamento que permita identificar a data de fabricação dos cabos;
• O cabo deve ser fabricado com material LSZH (Low Smoke, Zero Halogen);
• Marcação sequencial métrica decrescente;
NORMAS:
• ANSI/TIA - 568;
• ISO/IEC DIS 11801
NBR 14703 e 14705
UL 444;
Garantia do Fabricante: 12 meses.
Referência: Furukawa Cabo Gigalan CAT 6;</t>
  </si>
  <si>
    <t>Cabo em cobre, tipo PP, 4 x 4,00 mm² (quatro vias com bitola de 4,00 mm²). Cabo do tipo flexível e capa de PVC. Rolo com 100m</t>
  </si>
  <si>
    <t>Cabo em cobre, tipo PP, 4 x 6,00 mm² (quatro vias com bitola de 6,00 mm²). Cabo do tipo flexível e capa de PVC. Rolo com 100m</t>
  </si>
  <si>
    <t>Cabo flexível em cobre com bitola de 2,50 mm², classe de isolamento 0,75kV, isolamento em PVC, fornecido em embalagens fechadas lacradas pelo fabricante, na cor branca. Rolo com 100m</t>
  </si>
  <si>
    <t>Conector Fêmea RJ-45 CAT 6
Especificações técnicas:
• Conector fêmea Categoria 6 para cabo UTP sólido ou flexível;
• Tipo de conector RJ-45;
• Fabricado em termoplástico não propagante a chama UL 94V-0;
• Diâmetro do Condutor: 26 a 22 AWG;
• Cor: transparente;
Normas:
• ANSI/TIA-568-2-D;
• ISO/IEC DIS 11801;
• NBR 14565;
Garantia do Fabricante:12 meses.
Referências: Furukawa Conector Fêmea RJ-45 GigaLan CAT6;
Panduit plug RJ-45 CAT 6</t>
  </si>
  <si>
    <t>Conector Macho RJ-45 CAT6Especificações técnicas:• Conector macho Categoria 6 para cabo UTP sólido ou flexível;• Tipo de conector RJ-45;• Fabricado em termoplástico não propagante a chama UL 94V-0;• Diâmetro do Condutor: 26 a 22 AWG;• Cor: transparente;Normas:• ANSI/TIA-568;• ISO/IEC DIS 11801;• NBR 14565;Garantia do Fabricante:12 meses.ReferênciasFurukawa plug RJ-45 GigaLan CAT6;Panduit plug RJ-45 CAT 6</t>
  </si>
  <si>
    <t>Filtro de linha com plug 2P+T e 5 tomadas 2P+T</t>
  </si>
  <si>
    <t>Fita adesiva Silver Tape (preta) 48mm x 50m
Obs.: É obrigação da Contratada, entregar materiais com intervalo de tempo decorrido entre a data de entrega e a data final de validade, equivalente a no mínimo 75% do total do prazo de validade</t>
  </si>
  <si>
    <t>Gás refrigerante R410 A, garrafa com 11,350 kg</t>
  </si>
  <si>
    <t>Lâmpada LED de 9W, , Luz branca, Base E27, marcas Osram, Eurolux, Starlux ou similar técnico</t>
  </si>
  <si>
    <t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t>
  </si>
  <si>
    <t>Massa corrida PVA comum.</t>
  </si>
  <si>
    <t>Massa POLIÉSTER, ¼ lata (massa automotiva).</t>
  </si>
  <si>
    <t>Patch Panel Categoria 6Especificações técnicas:· O produto deve atender os requisitos estabelecidos nas normas para Categoria 6/ Classe E;· 24 posições RJ-45;· Corpo fabricado em termoplástico de alto impacto não propagante a chama (UL 94 V-0);· Painel frontal em plástico com porta etiquetas para identificação;· Possibilidade de crimpagem T568A ou T568B;Deve possuir uma guia traseira feita em termoplástico para organizar os cabos;Instalação em rack 19";· Normas:· EIA/TIA-569;· ISO/IEC 11801;· NBR 14565;· ANSI/TIA-606.Garantia do Fabricante:12 meses.Modelo de referência: Furukawa Patch Panel Gigalan CAT6 24P</t>
  </si>
  <si>
    <t>Plug 2P+T fêmea, padrão brasileiro, 10A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</si>
  <si>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</si>
  <si>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</si>
  <si>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</si>
  <si>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</si>
  <si>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</si>
  <si>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</si>
  <si>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</si>
  <si>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</si>
  <si>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</si>
  <si>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</si>
  <si>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cx</t>
  </si>
  <si>
    <t>MR DE OLIVEIRA CHAVES (ATUALIZADO)</t>
  </si>
  <si>
    <t>MULTIREDE DISTRIBUIDORA</t>
  </si>
  <si>
    <t xml:space="preserve">AMAZON </t>
  </si>
  <si>
    <t>AUGE LUIZ MATERIAIS ELETRICOS</t>
  </si>
  <si>
    <t>Z COMERCIO DE ACO E FERRAMENTAS</t>
  </si>
  <si>
    <t>PATRIC ALBERT FIUZA (ATUALIZADO)</t>
  </si>
  <si>
    <t>INST FED DE EDU PE- N02/22 RJ (ATUALIZ)</t>
  </si>
  <si>
    <t>COMANDO DA AERONAUTICA (ATUALIZ)</t>
  </si>
  <si>
    <t xml:space="preserve">COMANDO DO EXERCITO </t>
  </si>
  <si>
    <t>COMERCIAL SPONCHIADO LTDA</t>
  </si>
  <si>
    <t>D.B. DE ARAUJO ELETRICA</t>
  </si>
  <si>
    <t>R3 COMERCIO E SERV. LTDA</t>
  </si>
  <si>
    <t>ELETRICA JUREMA</t>
  </si>
  <si>
    <t>MM ELETROFIBRAS ( ATUALIZADO)</t>
  </si>
  <si>
    <t>KLUX COMERCIO E ENGENHARIA LTDA</t>
  </si>
  <si>
    <t>PAGNAN &amp; BACHES LTDA</t>
  </si>
  <si>
    <t>ADS CONEXAO LTDA</t>
  </si>
  <si>
    <t xml:space="preserve">ELETROQUIP COMERCIO </t>
  </si>
  <si>
    <t>MARIRANE PINHEIRO ARAUJO</t>
  </si>
  <si>
    <t>OLIVEIRA ALMEIDA INFORMATICA</t>
  </si>
  <si>
    <t>SB COMERCIO DE MATERIAIS</t>
  </si>
  <si>
    <t>Y S DIAS COMERCIO DE PAPELARIA</t>
  </si>
  <si>
    <t>EMBRASTEC INOVAÇÕES TECNOLOGICAS</t>
  </si>
  <si>
    <t>INOVABRAS PRODUTOS INTELIGENTES</t>
  </si>
  <si>
    <t>MAZEPEL ARTIGOS DE ESCRITORIO LTDA</t>
  </si>
  <si>
    <t>LAZARO BEZERRA SOARES</t>
  </si>
  <si>
    <t>CELSO LUIZ MOREIRA DA COSTA</t>
  </si>
  <si>
    <t>SLD VIEIRA MANTENSÃO</t>
  </si>
  <si>
    <t xml:space="preserve">ATENA REFRIGERAÇÃO </t>
  </si>
  <si>
    <t>FELIPE REIS FRANCKLIND</t>
  </si>
  <si>
    <t>PREMIER COMERCIO</t>
  </si>
  <si>
    <t>A FORTALEZA REFRIGERAÇÃO</t>
  </si>
  <si>
    <t xml:space="preserve">LA PAZINATO </t>
  </si>
  <si>
    <t>ASL SERVIÇOS</t>
  </si>
  <si>
    <t>RT ILUMINAÇÃO</t>
  </si>
  <si>
    <t>ALED ATACADÃO LED</t>
  </si>
  <si>
    <t>CENTRAL ELETRICA</t>
  </si>
  <si>
    <t>THIAGO CRISTOVÃO ( PAINEL DE PREÇOS)</t>
  </si>
  <si>
    <t>LCF NMATERIAL ELETRICO ( PAINEL DE PREÇOS)</t>
  </si>
  <si>
    <t>ONE COMERCIAL LTDA ( PAINEL DE PREÇOS)</t>
  </si>
  <si>
    <t xml:space="preserve">LERACK CONSTRUÇÕES ( PAINEL DE PREÇOS) </t>
  </si>
  <si>
    <t>GIGA ATACADÃO ( PAINEL DE PREÇOS)</t>
  </si>
  <si>
    <t>DJ EMPREENDIMENTOS</t>
  </si>
  <si>
    <t>T DE CARVALHO COUTINHO</t>
  </si>
  <si>
    <t xml:space="preserve">INTRAL SA INDUSTRIA DE MATERIAIS </t>
  </si>
  <si>
    <t>ANTONIO CLAYTON RODRIGUES ALVES</t>
  </si>
  <si>
    <t>GRAND COMMERCE</t>
  </si>
  <si>
    <t>LICITAR COMERCIO E DISTRIBUICAO DE MATERIAIS ELETRICOS, HIDRAULICOS LTDA</t>
  </si>
  <si>
    <t>ELETROFRST IMPORTAÇÃO</t>
  </si>
  <si>
    <t>ELETRO LIFE COMERCIAL</t>
  </si>
  <si>
    <t>G.H. DE MOURA MOURA MATERIAIS</t>
  </si>
  <si>
    <t xml:space="preserve">A DONIZETE DA SILVA </t>
  </si>
  <si>
    <t xml:space="preserve">S VASCONCELOS </t>
  </si>
  <si>
    <t>AGREGA DISTRIBUIDORA LTDA</t>
  </si>
  <si>
    <t>O BAIANÃO COMERCIAL</t>
  </si>
  <si>
    <t>FERGAVI COMERCIAL LTDA</t>
  </si>
  <si>
    <t>JHONATAN RAFAEL DOS SANTOS</t>
  </si>
  <si>
    <t>VRM COMERCIO</t>
  </si>
  <si>
    <t>ENGENIT COMERCIO</t>
  </si>
  <si>
    <t>I R COMERCIO E MATERIAIS</t>
  </si>
  <si>
    <t>LP TECNOLKOGIA</t>
  </si>
  <si>
    <t>ELETROQUIP COMERCIAL E LICITAÇÕES</t>
  </si>
  <si>
    <t>PELSTER TECNOLOGIA LTDA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</si>
  <si>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</si>
  <si>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</si>
  <si>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</si>
  <si>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</si>
  <si>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</si>
  <si>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</si>
  <si>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</si>
  <si>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</si>
  <si>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</si>
  <si>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</si>
  <si>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</si>
  <si>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</si>
  <si>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</si>
  <si>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</si>
  <si>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</si>
  <si>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</si>
  <si>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</si>
  <si>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</si>
  <si>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</si>
  <si>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</si>
  <si>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</si>
  <si>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</si>
  <si>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</si>
  <si>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ALLUME SERVICOS E COMERCIO LTDA</t>
  </si>
  <si>
    <t>SUL.COM ATACADO E VAREJO LTDA</t>
  </si>
  <si>
    <t>VIDA DE SILICIO LTDA</t>
  </si>
  <si>
    <t>VOLT MATERIAIS ELETRICOS LTDA</t>
  </si>
  <si>
    <t>COMERCIAL AGUIAR DE MATERIAL ELETRICO LTDA</t>
  </si>
  <si>
    <t>D S EMPREENDIMENTOS LTDA</t>
  </si>
  <si>
    <t>MULTI LITE COMERCIAL ELETRICA LTDA.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</si>
</sst>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56</v>
      </c>
      <c r="C3" s="36" t="s">
        <v>81</v>
      </c>
      <c r="D3" s="36">
        <v>60</v>
      </c>
      <c r="E3" s="37">
        <f>IF(C20&lt;=25%,D20,MIN(E20:F20))</f>
        <v>1207.47</v>
      </c>
      <c r="F3" s="37">
        <f>MIN(H3:H17)</f>
        <v>920</v>
      </c>
      <c r="G3" s="5" t="s">
        <v>82</v>
      </c>
      <c r="H3" s="16">
        <v>1207.97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83</v>
      </c>
      <c r="H4" s="16">
        <v>1600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84</v>
      </c>
      <c r="H5" s="16">
        <v>920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51</v>
      </c>
      <c r="H6" s="16">
        <v>1101.92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287.4368651112793</v>
      </c>
      <c r="B20" s="8">
        <f>COUNT(H3:H17)</f>
        <v>4</v>
      </c>
      <c r="C20" s="9">
        <f>IF(B20&lt;2,"n/a",(A20/D20))</f>
        <v>0.23804886673066766</v>
      </c>
      <c r="D20" s="10">
        <f>IFERROR(ROUND(AVERAGE(H3:H17),2),"")</f>
        <v>1207.47</v>
      </c>
      <c r="E20" s="15" t="str">
        <f>IFERROR(ROUND(IF(B20&lt;2,"n/a",(IF(C20&lt;=25%,"n/a",AVERAGE(I3:I17)))),2),"n/a")</f>
        <v>n/a</v>
      </c>
      <c r="F20" s="10">
        <f>IFERROR(ROUND(MEDIAN(H3:H17),2),"")</f>
        <v>1154.95</v>
      </c>
      <c r="G20" s="11" t="str">
        <f>IFERROR(INDEX(G3:G17,MATCH(H20,H3:H17,0)),"")</f>
        <v xml:space="preserve">AMAZON </v>
      </c>
      <c r="H20" s="12">
        <f>F3</f>
        <v>920</v>
      </c>
    </row>
    <row r="22" spans="1:9" x14ac:dyDescent="0.25">
      <c r="G22" s="13" t="s">
        <v>20</v>
      </c>
      <c r="H22" s="14">
        <f>IF(C20&lt;=25%,D20,MIN(E20:F20))</f>
        <v>1207.47</v>
      </c>
    </row>
    <row r="23" spans="1:9" x14ac:dyDescent="0.25">
      <c r="G23" s="13" t="s">
        <v>6</v>
      </c>
      <c r="H23" s="14">
        <f>ROUND(H22,2)*D3</f>
        <v>72448.2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65</v>
      </c>
      <c r="C3" s="36" t="s">
        <v>7</v>
      </c>
      <c r="D3" s="36">
        <v>200</v>
      </c>
      <c r="E3" s="37">
        <f>IF(C20&lt;=25%,D20,MIN(E20:F20))</f>
        <v>6.34</v>
      </c>
      <c r="F3" s="37">
        <f>MIN(H3:H17)</f>
        <v>3.5</v>
      </c>
      <c r="G3" s="5" t="s">
        <v>116</v>
      </c>
      <c r="H3" s="16">
        <v>7.69</v>
      </c>
      <c r="I3" s="17">
        <f>IF(H3="","",(IF($C$20&lt;25%,"n/a",IF(H3&lt;=($D$20+$A$20),H3,"Descartado"))))</f>
        <v>7.69</v>
      </c>
    </row>
    <row r="4" spans="1:9" x14ac:dyDescent="0.25">
      <c r="A4" s="38"/>
      <c r="B4" s="35"/>
      <c r="C4" s="36"/>
      <c r="D4" s="36"/>
      <c r="E4" s="37"/>
      <c r="F4" s="37"/>
      <c r="G4" s="5" t="s">
        <v>117</v>
      </c>
      <c r="H4" s="16">
        <v>6.9</v>
      </c>
      <c r="I4" s="17">
        <f t="shared" ref="I4:I17" si="0">IF(H4="","",(IF($C$20&lt;25%,"n/a",IF(H4&lt;=($D$20+$A$20),H4,"Descartado"))))</f>
        <v>6.9</v>
      </c>
    </row>
    <row r="5" spans="1:9" x14ac:dyDescent="0.25">
      <c r="A5" s="38"/>
      <c r="B5" s="35"/>
      <c r="C5" s="36"/>
      <c r="D5" s="36"/>
      <c r="E5" s="37"/>
      <c r="F5" s="37"/>
      <c r="G5" s="5" t="s">
        <v>118</v>
      </c>
      <c r="H5" s="16">
        <v>7.9</v>
      </c>
      <c r="I5" s="17">
        <f t="shared" si="0"/>
        <v>7.9</v>
      </c>
    </row>
    <row r="6" spans="1:9" x14ac:dyDescent="0.25">
      <c r="A6" s="38"/>
      <c r="B6" s="35"/>
      <c r="C6" s="36"/>
      <c r="D6" s="36"/>
      <c r="E6" s="37"/>
      <c r="F6" s="37"/>
      <c r="G6" s="5" t="s">
        <v>119</v>
      </c>
      <c r="H6" s="16">
        <v>3.5</v>
      </c>
      <c r="I6" s="17">
        <f t="shared" si="0"/>
        <v>3.5</v>
      </c>
    </row>
    <row r="7" spans="1:9" x14ac:dyDescent="0.25">
      <c r="A7" s="38"/>
      <c r="B7" s="35"/>
      <c r="C7" s="36"/>
      <c r="D7" s="36"/>
      <c r="E7" s="37"/>
      <c r="F7" s="37"/>
      <c r="G7" s="5" t="s">
        <v>120</v>
      </c>
      <c r="H7" s="16">
        <v>4.3</v>
      </c>
      <c r="I7" s="17">
        <f t="shared" si="0"/>
        <v>4.3</v>
      </c>
    </row>
    <row r="8" spans="1:9" x14ac:dyDescent="0.25">
      <c r="A8" s="38"/>
      <c r="B8" s="35"/>
      <c r="C8" s="36"/>
      <c r="D8" s="36"/>
      <c r="E8" s="37"/>
      <c r="F8" s="37"/>
      <c r="G8" s="5" t="s">
        <v>121</v>
      </c>
      <c r="H8" s="16">
        <v>5.9</v>
      </c>
      <c r="I8" s="17">
        <f t="shared" si="0"/>
        <v>5.9</v>
      </c>
    </row>
    <row r="9" spans="1:9" x14ac:dyDescent="0.25">
      <c r="A9" s="38"/>
      <c r="B9" s="35"/>
      <c r="C9" s="36"/>
      <c r="D9" s="36"/>
      <c r="E9" s="37"/>
      <c r="F9" s="37"/>
      <c r="G9" s="5" t="s">
        <v>122</v>
      </c>
      <c r="H9" s="16">
        <v>7.05</v>
      </c>
      <c r="I9" s="17">
        <f t="shared" si="0"/>
        <v>7.05</v>
      </c>
    </row>
    <row r="10" spans="1:9" x14ac:dyDescent="0.25">
      <c r="A10" s="38"/>
      <c r="B10" s="35"/>
      <c r="C10" s="36"/>
      <c r="D10" s="36"/>
      <c r="E10" s="37"/>
      <c r="F10" s="37"/>
      <c r="G10" s="5" t="s">
        <v>123</v>
      </c>
      <c r="H10" s="16">
        <v>7.45</v>
      </c>
      <c r="I10" s="17">
        <f t="shared" si="0"/>
        <v>7.45</v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1.6356120523260658</v>
      </c>
      <c r="B20" s="8">
        <f>COUNT(H3:H17)</f>
        <v>8</v>
      </c>
      <c r="C20" s="9">
        <f>IF(B20&lt;2,"n/a",(A20/D20))</f>
        <v>0.2579829735530072</v>
      </c>
      <c r="D20" s="10">
        <f>IFERROR(ROUND(AVERAGE(H3:H17),2),"")</f>
        <v>6.34</v>
      </c>
      <c r="E20" s="15">
        <f>IFERROR(ROUND(IF(B20&lt;2,"n/a",(IF(C20&lt;=25%,"n/a",AVERAGE(I3:I17)))),2),"n/a")</f>
        <v>6.34</v>
      </c>
      <c r="F20" s="10">
        <f>IFERROR(ROUND(MEDIAN(H3:H17),2),"")</f>
        <v>6.98</v>
      </c>
      <c r="G20" s="11" t="str">
        <f>IFERROR(INDEX(G3:G17,MATCH(H20,H3:H17,0)),"")</f>
        <v>THIAGO CRISTOVÃO ( PAINEL DE PREÇOS)</v>
      </c>
      <c r="H20" s="12">
        <f>F3</f>
        <v>3.5</v>
      </c>
    </row>
    <row r="22" spans="1:9" x14ac:dyDescent="0.25">
      <c r="G22" s="13" t="s">
        <v>20</v>
      </c>
      <c r="H22" s="14">
        <f>IF(C20&lt;=25%,D20,MIN(E20:F20))</f>
        <v>6.34</v>
      </c>
    </row>
    <row r="23" spans="1:9" x14ac:dyDescent="0.25">
      <c r="G23" s="13" t="s">
        <v>6</v>
      </c>
      <c r="H23" s="14">
        <f>ROUND(H22,2)*D3</f>
        <v>1268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66</v>
      </c>
      <c r="C3" s="36" t="s">
        <v>7</v>
      </c>
      <c r="D3" s="36">
        <v>1000</v>
      </c>
      <c r="E3" s="37">
        <f>IF(C20&lt;=25%,D20,MIN(E20:F20))</f>
        <v>11.52</v>
      </c>
      <c r="F3" s="37">
        <f>MIN(H3:H17)</f>
        <v>8.2200000000000006</v>
      </c>
      <c r="G3" s="5" t="s">
        <v>124</v>
      </c>
      <c r="H3" s="16">
        <v>13.36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125</v>
      </c>
      <c r="H4" s="16">
        <v>12.5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129</v>
      </c>
      <c r="H5" s="16">
        <v>8.2200000000000006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126</v>
      </c>
      <c r="H6" s="16">
        <v>8.34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127</v>
      </c>
      <c r="H7" s="16">
        <v>13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128</v>
      </c>
      <c r="H8" s="16">
        <v>13.71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2.5430251014621761</v>
      </c>
      <c r="B20" s="8">
        <f>COUNT(H3:H17)</f>
        <v>6</v>
      </c>
      <c r="C20" s="9">
        <f>IF(B20&lt;2,"n/a",(A20/D20))</f>
        <v>0.22074870672414723</v>
      </c>
      <c r="D20" s="10">
        <f>IFERROR(ROUND(AVERAGE(H3:H17),2),"")</f>
        <v>11.52</v>
      </c>
      <c r="E20" s="15" t="str">
        <f>IFERROR(ROUND(IF(B20&lt;2,"n/a",(IF(C20&lt;=25%,"n/a",AVERAGE(I3:I17)))),2),"n/a")</f>
        <v>n/a</v>
      </c>
      <c r="F20" s="10">
        <f>IFERROR(ROUND(MEDIAN(H3:H17),2),"")</f>
        <v>12.75</v>
      </c>
      <c r="G20" s="11" t="str">
        <f>IFERROR(INDEX(G3:G17,MATCH(H20,H3:H17,0)),"")</f>
        <v>LICITAR COMERCIO E DISTRIBUICAO DE MATERIAIS ELETRICOS, HIDRAULICOS LTDA</v>
      </c>
      <c r="H20" s="12">
        <f>F3</f>
        <v>8.2200000000000006</v>
      </c>
    </row>
    <row r="22" spans="1:9" x14ac:dyDescent="0.25">
      <c r="G22" s="13" t="s">
        <v>20</v>
      </c>
      <c r="H22" s="14">
        <f>IF(C20&lt;=25%,D20,MIN(E20:F20))</f>
        <v>11.52</v>
      </c>
    </row>
    <row r="23" spans="1:9" x14ac:dyDescent="0.25">
      <c r="G23" s="13" t="s">
        <v>6</v>
      </c>
      <c r="H23" s="14">
        <f>ROUND(H22,2)*D3</f>
        <v>11520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">
        <v>67</v>
      </c>
      <c r="C3" s="36" t="s">
        <v>76</v>
      </c>
      <c r="D3" s="36">
        <v>100</v>
      </c>
      <c r="E3" s="37">
        <f>IF(C20&lt;=25%,D20,MIN(E20:F20))</f>
        <v>49.86</v>
      </c>
      <c r="F3" s="37">
        <f>MIN(H3:H17)</f>
        <v>27</v>
      </c>
      <c r="G3" s="5" t="s">
        <v>130</v>
      </c>
      <c r="H3" s="16">
        <v>27</v>
      </c>
      <c r="I3" s="17">
        <f>IF(H3="","",(IF($C$20&lt;25%,"n/a",IF(H3&lt;=($D$20+$A$20),H3,"Descartado"))))</f>
        <v>27</v>
      </c>
    </row>
    <row r="4" spans="1:9" x14ac:dyDescent="0.25">
      <c r="A4" s="38"/>
      <c r="B4" s="35"/>
      <c r="C4" s="36"/>
      <c r="D4" s="36"/>
      <c r="E4" s="37"/>
      <c r="F4" s="37"/>
      <c r="G4" s="5" t="s">
        <v>131</v>
      </c>
      <c r="H4" s="16">
        <v>31.92</v>
      </c>
      <c r="I4" s="17">
        <f t="shared" ref="I4:I17" si="0">IF(H4="","",(IF($C$20&lt;25%,"n/a",IF(H4&lt;=($D$20+$A$20),H4,"Descartado"))))</f>
        <v>31.92</v>
      </c>
    </row>
    <row r="5" spans="1:9" x14ac:dyDescent="0.25">
      <c r="A5" s="38"/>
      <c r="B5" s="35"/>
      <c r="C5" s="36"/>
      <c r="D5" s="36"/>
      <c r="E5" s="37"/>
      <c r="F5" s="37"/>
      <c r="G5" s="5" t="s">
        <v>132</v>
      </c>
      <c r="H5" s="16">
        <v>69</v>
      </c>
      <c r="I5" s="17">
        <f t="shared" si="0"/>
        <v>69</v>
      </c>
    </row>
    <row r="6" spans="1:9" x14ac:dyDescent="0.25">
      <c r="A6" s="38"/>
      <c r="B6" s="35"/>
      <c r="C6" s="36"/>
      <c r="D6" s="36"/>
      <c r="E6" s="37"/>
      <c r="F6" s="37"/>
      <c r="G6" s="5" t="s">
        <v>133</v>
      </c>
      <c r="H6" s="16">
        <v>71.5</v>
      </c>
      <c r="I6" s="17">
        <f t="shared" si="0"/>
        <v>71.5</v>
      </c>
    </row>
    <row r="7" spans="1:9" x14ac:dyDescent="0.25">
      <c r="A7" s="38"/>
      <c r="B7" s="35"/>
      <c r="C7" s="36"/>
      <c r="D7" s="36"/>
      <c r="E7" s="37"/>
      <c r="F7" s="37"/>
      <c r="G7" s="5" t="s">
        <v>134</v>
      </c>
      <c r="H7" s="16">
        <v>91.1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27.567971996503481</v>
      </c>
      <c r="B20" s="8">
        <f>COUNT(H3:H17)</f>
        <v>5</v>
      </c>
      <c r="C20" s="9">
        <f>IF(B20&lt;2,"n/a",(A20/D20))</f>
        <v>0.47449177274532667</v>
      </c>
      <c r="D20" s="10">
        <f>IFERROR(ROUND(AVERAGE(H3:H17),2),"")</f>
        <v>58.1</v>
      </c>
      <c r="E20" s="15">
        <f>IFERROR(ROUND(IF(B20&lt;2,"n/a",(IF(C20&lt;=25%,"n/a",AVERAGE(I3:I17)))),2),"n/a")</f>
        <v>49.86</v>
      </c>
      <c r="F20" s="10">
        <f>IFERROR(ROUND(MEDIAN(H3:H17),2),"")</f>
        <v>69</v>
      </c>
      <c r="G20" s="11" t="str">
        <f>IFERROR(INDEX(G3:G17,MATCH(H20,H3:H17,0)),"")</f>
        <v>ELETROFRST IMPORTAÇÃO</v>
      </c>
      <c r="H20" s="12">
        <f>F3</f>
        <v>27</v>
      </c>
    </row>
    <row r="22" spans="1:9" x14ac:dyDescent="0.25">
      <c r="G22" s="13" t="s">
        <v>20</v>
      </c>
      <c r="H22" s="14">
        <f>IF(C20&lt;=25%,D20,MIN(E20:F20))</f>
        <v>49.86</v>
      </c>
    </row>
    <row r="23" spans="1:9" x14ac:dyDescent="0.25">
      <c r="G23" s="13" t="s">
        <v>6</v>
      </c>
      <c r="H23" s="14">
        <f>ROUND(H22,2)*D3</f>
        <v>4986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 t="s">
        <v>68</v>
      </c>
      <c r="C3" s="36" t="s">
        <v>7</v>
      </c>
      <c r="D3" s="36">
        <v>100</v>
      </c>
      <c r="E3" s="37">
        <f>IF(C20&lt;=25%,D20,MIN(E20:F20))</f>
        <v>28.85</v>
      </c>
      <c r="F3" s="37">
        <f>MIN(H3:H17)</f>
        <v>18.97</v>
      </c>
      <c r="G3" s="5" t="s">
        <v>135</v>
      </c>
      <c r="H3" s="16">
        <v>18.97</v>
      </c>
      <c r="I3" s="17">
        <f>IF(H3="","",(IF($C$20&lt;25%,"n/a",IF(H3&lt;=($D$20+$A$20),H3,"Descartado"))))</f>
        <v>18.97</v>
      </c>
    </row>
    <row r="4" spans="1:9" x14ac:dyDescent="0.25">
      <c r="A4" s="38"/>
      <c r="B4" s="35"/>
      <c r="C4" s="36"/>
      <c r="D4" s="36"/>
      <c r="E4" s="37"/>
      <c r="F4" s="37"/>
      <c r="G4" s="5" t="s">
        <v>136</v>
      </c>
      <c r="H4" s="16">
        <v>28</v>
      </c>
      <c r="I4" s="17">
        <f t="shared" ref="I4:I17" si="0">IF(H4="","",(IF($C$20&lt;25%,"n/a",IF(H4&lt;=($D$20+$A$20),H4,"Descartado"))))</f>
        <v>28</v>
      </c>
    </row>
    <row r="5" spans="1:9" x14ac:dyDescent="0.25">
      <c r="A5" s="38"/>
      <c r="B5" s="35"/>
      <c r="C5" s="36"/>
      <c r="D5" s="36"/>
      <c r="E5" s="37"/>
      <c r="F5" s="37"/>
      <c r="G5" s="5" t="s">
        <v>137</v>
      </c>
      <c r="H5" s="16">
        <v>21.62</v>
      </c>
      <c r="I5" s="17">
        <f t="shared" si="0"/>
        <v>21.62</v>
      </c>
    </row>
    <row r="6" spans="1:9" x14ac:dyDescent="0.25">
      <c r="A6" s="38"/>
      <c r="B6" s="35"/>
      <c r="C6" s="36"/>
      <c r="D6" s="36"/>
      <c r="E6" s="37"/>
      <c r="F6" s="37"/>
      <c r="G6" s="5" t="s">
        <v>138</v>
      </c>
      <c r="H6" s="16">
        <v>76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139</v>
      </c>
      <c r="H7" s="16">
        <v>30.66</v>
      </c>
      <c r="I7" s="17">
        <f t="shared" si="0"/>
        <v>30.66</v>
      </c>
    </row>
    <row r="8" spans="1:9" x14ac:dyDescent="0.25">
      <c r="A8" s="38"/>
      <c r="B8" s="35"/>
      <c r="C8" s="36"/>
      <c r="D8" s="36"/>
      <c r="E8" s="37"/>
      <c r="F8" s="37"/>
      <c r="G8" s="5" t="s">
        <v>140</v>
      </c>
      <c r="H8" s="16">
        <v>45</v>
      </c>
      <c r="I8" s="17">
        <f t="shared" si="0"/>
        <v>45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21.29464948447535</v>
      </c>
      <c r="B20" s="8">
        <f>COUNT(H3:H17)</f>
        <v>6</v>
      </c>
      <c r="C20" s="9">
        <f>IF(B20&lt;2,"n/a",(A20/D20))</f>
        <v>0.58007762147848951</v>
      </c>
      <c r="D20" s="10">
        <f>IFERROR(ROUND(AVERAGE(H3:H17),2),"")</f>
        <v>36.71</v>
      </c>
      <c r="E20" s="15">
        <f>IFERROR(ROUND(IF(B20&lt;2,"n/a",(IF(C20&lt;=25%,"n/a",AVERAGE(I3:I17)))),2),"n/a")</f>
        <v>28.85</v>
      </c>
      <c r="F20" s="10">
        <f>IFERROR(ROUND(MEDIAN(H3:H17),2),"")</f>
        <v>29.33</v>
      </c>
      <c r="G20" s="11" t="str">
        <f>IFERROR(INDEX(G3:G17,MATCH(H20,H3:H17,0)),"")</f>
        <v>AGREGA DISTRIBUIDORA LTDA</v>
      </c>
      <c r="H20" s="12">
        <f>F3</f>
        <v>18.97</v>
      </c>
    </row>
    <row r="22" spans="1:9" x14ac:dyDescent="0.25">
      <c r="G22" s="13" t="s">
        <v>20</v>
      </c>
      <c r="H22" s="14">
        <f>IF(C20&lt;=25%,D20,MIN(E20:F20))</f>
        <v>28.85</v>
      </c>
    </row>
    <row r="23" spans="1:9" x14ac:dyDescent="0.25">
      <c r="G23" s="13" t="s">
        <v>6</v>
      </c>
      <c r="H23" s="14">
        <f>ROUND(H22,2)*D3</f>
        <v>2885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 t="s">
        <v>69</v>
      </c>
      <c r="C3" s="36" t="s">
        <v>7</v>
      </c>
      <c r="D3" s="36">
        <v>20</v>
      </c>
      <c r="E3" s="37">
        <f>IF(C20&lt;=25%,D20,MIN(E20:F20))</f>
        <v>234.57</v>
      </c>
      <c r="F3" s="37">
        <f>MIN(H3:H17)</f>
        <v>188.84</v>
      </c>
      <c r="G3" s="5" t="s">
        <v>141</v>
      </c>
      <c r="H3" s="16">
        <v>188.84</v>
      </c>
      <c r="I3" s="17">
        <f>IF(H3="","",(IF($C$20&lt;25%,"n/a",IF(H3&lt;=($D$20+$A$20),H3,"Descartado"))))</f>
        <v>188.84</v>
      </c>
    </row>
    <row r="4" spans="1:9" x14ac:dyDescent="0.25">
      <c r="A4" s="38"/>
      <c r="B4" s="35"/>
      <c r="C4" s="36"/>
      <c r="D4" s="36"/>
      <c r="E4" s="37"/>
      <c r="F4" s="37"/>
      <c r="G4" s="5" t="s">
        <v>142</v>
      </c>
      <c r="H4" s="16">
        <v>200.88</v>
      </c>
      <c r="I4" s="17">
        <f t="shared" ref="I4:I17" si="0">IF(H4="","",(IF($C$20&lt;25%,"n/a",IF(H4&lt;=($D$20+$A$20),H4,"Descartado"))))</f>
        <v>200.88</v>
      </c>
    </row>
    <row r="5" spans="1:9" x14ac:dyDescent="0.25">
      <c r="A5" s="38"/>
      <c r="B5" s="35"/>
      <c r="C5" s="36"/>
      <c r="D5" s="36"/>
      <c r="E5" s="37"/>
      <c r="F5" s="37"/>
      <c r="G5" s="5" t="s">
        <v>143</v>
      </c>
      <c r="H5" s="16">
        <v>313.98</v>
      </c>
      <c r="I5" s="17">
        <f t="shared" si="0"/>
        <v>313.98</v>
      </c>
    </row>
    <row r="6" spans="1:9" x14ac:dyDescent="0.25">
      <c r="A6" s="38"/>
      <c r="B6" s="35"/>
      <c r="C6" s="36"/>
      <c r="D6" s="36"/>
      <c r="E6" s="37"/>
      <c r="F6" s="37"/>
      <c r="G6" s="5" t="s">
        <v>144</v>
      </c>
      <c r="H6" s="16">
        <v>540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162.78752808492422</v>
      </c>
      <c r="B20" s="8">
        <f>COUNT(H3:H17)</f>
        <v>4</v>
      </c>
      <c r="C20" s="9">
        <f>IF(B20&lt;2,"n/a",(A20/D20))</f>
        <v>0.52355040711711387</v>
      </c>
      <c r="D20" s="10">
        <f>IFERROR(ROUND(AVERAGE(H3:H17),2),"")</f>
        <v>310.93</v>
      </c>
      <c r="E20" s="15">
        <f>IFERROR(ROUND(IF(B20&lt;2,"n/a",(IF(C20&lt;=25%,"n/a",AVERAGE(I3:I17)))),2),"n/a")</f>
        <v>234.57</v>
      </c>
      <c r="F20" s="10">
        <f>IFERROR(ROUND(MEDIAN(H3:H17),2),"")</f>
        <v>257.43</v>
      </c>
      <c r="G20" s="11" t="str">
        <f>IFERROR(INDEX(G3:G17,MATCH(H20,H3:H17,0)),"")</f>
        <v>I R COMERCIO E MATERIAIS</v>
      </c>
      <c r="H20" s="12">
        <f>F3</f>
        <v>188.84</v>
      </c>
    </row>
    <row r="22" spans="1:9" x14ac:dyDescent="0.25">
      <c r="G22" s="13" t="s">
        <v>20</v>
      </c>
      <c r="H22" s="14">
        <f>IF(C20&lt;=25%,D20,MIN(E20:F20))</f>
        <v>234.57</v>
      </c>
    </row>
    <row r="23" spans="1:9" x14ac:dyDescent="0.25">
      <c r="G23" s="13" t="s">
        <v>6</v>
      </c>
      <c r="H23" s="14">
        <f>ROUND(H22,2)*D3</f>
        <v>4691.3999999999996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70</v>
      </c>
      <c r="C3" s="36" t="s">
        <v>7</v>
      </c>
      <c r="D3" s="36">
        <v>1000</v>
      </c>
      <c r="E3" s="37">
        <f>IF(C20&lt;=25%,D20,MIN(E20:F20))</f>
        <v>3.67</v>
      </c>
      <c r="F3" s="37">
        <f>MIN(H3:H17)</f>
        <v>2.46</v>
      </c>
      <c r="G3" s="5" t="s">
        <v>168</v>
      </c>
      <c r="H3" s="16">
        <v>2.46</v>
      </c>
      <c r="I3" s="17">
        <f>IF(H3="","",(IF($C$20&lt;25%,"n/a",IF(H3&lt;=($D$20+$A$20),H3,"Descartado"))))</f>
        <v>2.46</v>
      </c>
    </row>
    <row r="4" spans="1:9" x14ac:dyDescent="0.25">
      <c r="A4" s="38"/>
      <c r="B4" s="35"/>
      <c r="C4" s="36"/>
      <c r="D4" s="36"/>
      <c r="E4" s="37"/>
      <c r="F4" s="37"/>
      <c r="G4" s="5" t="s">
        <v>169</v>
      </c>
      <c r="H4" s="16">
        <v>3.84</v>
      </c>
      <c r="I4" s="17">
        <f t="shared" ref="I4:I17" si="0">IF(H4="","",(IF($C$20&lt;25%,"n/a",IF(H4&lt;=($D$20+$A$20),H4,"Descartado"))))</f>
        <v>3.84</v>
      </c>
    </row>
    <row r="5" spans="1:9" x14ac:dyDescent="0.25">
      <c r="A5" s="38"/>
      <c r="B5" s="35"/>
      <c r="C5" s="36"/>
      <c r="D5" s="36"/>
      <c r="E5" s="37"/>
      <c r="F5" s="37"/>
      <c r="G5" s="5" t="s">
        <v>170</v>
      </c>
      <c r="H5" s="16">
        <v>7</v>
      </c>
      <c r="I5" s="17">
        <f t="shared" si="0"/>
        <v>7</v>
      </c>
    </row>
    <row r="6" spans="1:9" x14ac:dyDescent="0.25">
      <c r="A6" s="38"/>
      <c r="B6" s="35"/>
      <c r="C6" s="36"/>
      <c r="D6" s="36"/>
      <c r="E6" s="37"/>
      <c r="F6" s="37"/>
      <c r="G6" s="5" t="s">
        <v>171</v>
      </c>
      <c r="H6" s="16">
        <v>8.3699999999999992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2.9</v>
      </c>
      <c r="I7" s="17">
        <f t="shared" si="0"/>
        <v>2.9</v>
      </c>
    </row>
    <row r="8" spans="1:9" x14ac:dyDescent="0.25">
      <c r="A8" s="38"/>
      <c r="B8" s="35"/>
      <c r="C8" s="36"/>
      <c r="D8" s="36"/>
      <c r="E8" s="37"/>
      <c r="F8" s="37"/>
      <c r="G8" s="5" t="s">
        <v>172</v>
      </c>
      <c r="H8" s="16">
        <v>3.5</v>
      </c>
      <c r="I8" s="17">
        <f t="shared" si="0"/>
        <v>3.5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2.4163312410898183</v>
      </c>
      <c r="B20" s="8">
        <f>COUNT(H3:H17)</f>
        <v>6</v>
      </c>
      <c r="C20" s="9">
        <f>IF(B20&lt;2,"n/a",(A20/D20))</f>
        <v>0.51631009424996122</v>
      </c>
      <c r="D20" s="10">
        <f>IFERROR(ROUND(AVERAGE(H3:H17),2),"")</f>
        <v>4.68</v>
      </c>
      <c r="E20" s="15">
        <f>IFERROR(ROUND(IF(B20&lt;2,"n/a",(IF(C20&lt;=25%,"n/a",AVERAGE(I3:I17)))),2),"n/a")</f>
        <v>3.94</v>
      </c>
      <c r="F20" s="10">
        <f>IFERROR(ROUND(MEDIAN(H3:H17),2),"")</f>
        <v>3.67</v>
      </c>
      <c r="G20" s="11" t="str">
        <f>IFERROR(INDEX(G3:G17,MATCH(H20,H3:H17,0)),"")</f>
        <v>ALLUME SERVICOS E COMERCIO LTDA</v>
      </c>
      <c r="H20" s="12">
        <f>F3</f>
        <v>2.46</v>
      </c>
    </row>
    <row r="22" spans="1:9" x14ac:dyDescent="0.25">
      <c r="G22" s="13" t="s">
        <v>20</v>
      </c>
      <c r="H22" s="14">
        <f>IF(C20&lt;=25%,D20,MIN(E20:F20))</f>
        <v>3.67</v>
      </c>
    </row>
    <row r="23" spans="1:9" x14ac:dyDescent="0.25">
      <c r="G23" s="13" t="s">
        <v>6</v>
      </c>
      <c r="H23" s="14">
        <f>ROUND(H22,2)*D3</f>
        <v>3670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71</v>
      </c>
      <c r="C3" s="36" t="s">
        <v>7</v>
      </c>
      <c r="D3" s="36">
        <v>1000</v>
      </c>
      <c r="E3" s="37">
        <f>IF(C20&lt;=25%,D20,MIN(E20:F20))</f>
        <v>6.89</v>
      </c>
      <c r="F3" s="37">
        <f>MIN(H3:H17)</f>
        <v>3.1</v>
      </c>
      <c r="G3" s="5" t="s">
        <v>173</v>
      </c>
      <c r="H3" s="16">
        <v>9.8000000000000007</v>
      </c>
      <c r="I3" s="17">
        <f>IF(H3="","",(IF($C$20&lt;25%,"n/a",IF(H3&lt;=($D$20+$A$20),H3,"Descartado"))))</f>
        <v>9.8000000000000007</v>
      </c>
    </row>
    <row r="4" spans="1:9" x14ac:dyDescent="0.25">
      <c r="A4" s="38"/>
      <c r="B4" s="35"/>
      <c r="C4" s="36"/>
      <c r="D4" s="36"/>
      <c r="E4" s="37"/>
      <c r="F4" s="37"/>
      <c r="G4" s="5" t="s">
        <v>174</v>
      </c>
      <c r="H4" s="16">
        <v>4.45</v>
      </c>
      <c r="I4" s="17">
        <f t="shared" ref="I4:I17" si="0">IF(H4="","",(IF($C$20&lt;25%,"n/a",IF(H4&lt;=($D$20+$A$20),H4,"Descartado"))))</f>
        <v>4.45</v>
      </c>
    </row>
    <row r="5" spans="1:9" x14ac:dyDescent="0.25">
      <c r="A5" s="38"/>
      <c r="B5" s="35"/>
      <c r="C5" s="36"/>
      <c r="D5" s="36"/>
      <c r="E5" s="37"/>
      <c r="F5" s="37"/>
      <c r="G5" s="5" t="s">
        <v>171</v>
      </c>
      <c r="H5" s="16">
        <v>8.9</v>
      </c>
      <c r="I5" s="17">
        <f t="shared" si="0"/>
        <v>8.9</v>
      </c>
    </row>
    <row r="6" spans="1:9" x14ac:dyDescent="0.25">
      <c r="A6" s="38"/>
      <c r="B6" s="35"/>
      <c r="C6" s="36"/>
      <c r="D6" s="36"/>
      <c r="E6" s="37"/>
      <c r="F6" s="37"/>
      <c r="G6" s="5" t="s">
        <v>91</v>
      </c>
      <c r="H6" s="16">
        <v>3.1</v>
      </c>
      <c r="I6" s="17">
        <f t="shared" si="0"/>
        <v>3.1</v>
      </c>
    </row>
    <row r="7" spans="1:9" x14ac:dyDescent="0.25">
      <c r="A7" s="38"/>
      <c r="B7" s="35"/>
      <c r="C7" s="36"/>
      <c r="D7" s="36"/>
      <c r="E7" s="37"/>
      <c r="F7" s="37"/>
      <c r="G7" s="5" t="s">
        <v>168</v>
      </c>
      <c r="H7" s="16">
        <v>8.2200000000000006</v>
      </c>
      <c r="I7" s="17">
        <f t="shared" si="0"/>
        <v>8.2200000000000006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2.9408638186764153</v>
      </c>
      <c r="B20" s="8">
        <f>COUNT(H3:H17)</f>
        <v>5</v>
      </c>
      <c r="C20" s="9">
        <f>IF(B20&lt;2,"n/a",(A20/D20))</f>
        <v>0.42683074291384837</v>
      </c>
      <c r="D20" s="10">
        <f>IFERROR(ROUND(AVERAGE(H3:H17),2),"")</f>
        <v>6.89</v>
      </c>
      <c r="E20" s="15">
        <f>IFERROR(ROUND(IF(B20&lt;2,"n/a",(IF(C20&lt;=25%,"n/a",AVERAGE(I3:I17)))),2),"n/a")</f>
        <v>6.89</v>
      </c>
      <c r="F20" s="10">
        <f>IFERROR(ROUND(MEDIAN(H3:H17),2),"")</f>
        <v>8.2200000000000006</v>
      </c>
      <c r="G20" s="11" t="str">
        <f>IFERROR(INDEX(G3:G17,MATCH(H20,H3:H17,0)),"")</f>
        <v>COMERCIAL SPONCHIADO LTDA</v>
      </c>
      <c r="H20" s="12">
        <f>F3</f>
        <v>3.1</v>
      </c>
    </row>
    <row r="22" spans="1:9" x14ac:dyDescent="0.25">
      <c r="G22" s="13" t="s">
        <v>20</v>
      </c>
      <c r="H22" s="14">
        <f>IF(C20&lt;=25%,D20,MIN(E20:F20))</f>
        <v>6.89</v>
      </c>
    </row>
    <row r="23" spans="1:9" x14ac:dyDescent="0.25">
      <c r="G23" s="13" t="s">
        <v>6</v>
      </c>
      <c r="H23" s="14">
        <f>ROUND(H22,2)*D3</f>
        <v>6890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72</v>
      </c>
      <c r="C3" s="36" t="s">
        <v>73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145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146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147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74</v>
      </c>
      <c r="C3" s="36" t="s">
        <v>75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148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149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150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151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152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77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153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154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155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57</v>
      </c>
      <c r="C3" s="36" t="s">
        <v>7</v>
      </c>
      <c r="D3" s="36">
        <v>20</v>
      </c>
      <c r="E3" s="37">
        <f>IF(C20&lt;=25%,D20,MIN(E20:F20))</f>
        <v>1220.72</v>
      </c>
      <c r="F3" s="37">
        <f>MIN(H3:H17)</f>
        <v>1137</v>
      </c>
      <c r="G3" s="5" t="s">
        <v>85</v>
      </c>
      <c r="H3" s="16">
        <v>1137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86</v>
      </c>
      <c r="H4" s="16">
        <v>1137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87</v>
      </c>
      <c r="H5" s="16">
        <v>1388.15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145.00152010697457</v>
      </c>
      <c r="B20" s="8">
        <f>COUNT(H3:H17)</f>
        <v>3</v>
      </c>
      <c r="C20" s="9">
        <f>IF(B20&lt;2,"n/a",(A20/D20))</f>
        <v>0.11878360320710282</v>
      </c>
      <c r="D20" s="10">
        <f>IFERROR(ROUND(AVERAGE(H3:H17),2),"")</f>
        <v>1220.72</v>
      </c>
      <c r="E20" s="15" t="str">
        <f>IFERROR(ROUND(IF(B20&lt;2,"n/a",(IF(C20&lt;=25%,"n/a",AVERAGE(I3:I17)))),2),"n/a")</f>
        <v>n/a</v>
      </c>
      <c r="F20" s="10">
        <f>IFERROR(ROUND(MEDIAN(H3:H17),2),"")</f>
        <v>1137</v>
      </c>
      <c r="G20" s="11" t="str">
        <f>IFERROR(INDEX(G3:G17,MATCH(H20,H3:H17,0)),"")</f>
        <v>AUGE LUIZ MATERIAIS ELETRICOS</v>
      </c>
      <c r="H20" s="12">
        <f>F3</f>
        <v>1137</v>
      </c>
    </row>
    <row r="22" spans="1:9" x14ac:dyDescent="0.25">
      <c r="G22" s="13" t="s">
        <v>20</v>
      </c>
      <c r="H22" s="14">
        <f>IF(C20&lt;=25%,D20,MIN(E20:F20))</f>
        <v>1220.72</v>
      </c>
    </row>
    <row r="23" spans="1:9" x14ac:dyDescent="0.25">
      <c r="G23" s="13" t="s">
        <v>6</v>
      </c>
      <c r="H23" s="14">
        <f>ROUND(H22,2)*D3</f>
        <v>24414.400000000001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78</v>
      </c>
      <c r="C3" s="36" t="s">
        <v>76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156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157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158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159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79</v>
      </c>
      <c r="C3" s="36" t="s">
        <v>76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160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161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162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159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163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80</v>
      </c>
      <c r="C3" s="36" t="s">
        <v>73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164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154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165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166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167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43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37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44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39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45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38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46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47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42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52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54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44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48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49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37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41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50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55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51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53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17" zoomScaleNormal="100" zoomScaleSheetLayoutView="100" workbookViewId="0">
      <selection activeCell="M16" sqref="M16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390" x14ac:dyDescent="0.25">
      <c r="A3" s="25" t="s">
        <v>36</v>
      </c>
      <c r="B3" s="25">
        <f>Item1!A3</f>
        <v>1</v>
      </c>
      <c r="C3" s="27" t="str">
        <f>Item1!B3</f>
        <v>Cabo de rede UTP - Categoria 6
Especificações técnicas:
• Cabo de 4 pares trançados compostos por condutores sólidos de cobre, 23AWG, isolados em polietileno de alta densidade;
• Capa externa em PVC não propagante a chama;
• Cor azul;
• Acondicionado em caixa de papelão tipo fastbox (305 metros), com nome do fabricante e sistema de rastreamento que permita identificar a data de fabricação dos cabos;
• O cabo deve ser fabricado com material LSZH (Low Smoke, Zero Halogen);
• Marcação sequencial métrica decrescente;
NORMAS:
• ANSI/TIA - 568;
• ISO/IEC DIS 11801
NBR 14703 e 14705
UL 444;
Garantia do Fabricante: 12 meses.
Referência: Furukawa Cabo Gigalan CAT 6;</v>
      </c>
      <c r="D3" s="25" t="str">
        <f>Item1!C3</f>
        <v>cx</v>
      </c>
      <c r="E3" s="25">
        <f>Item1!D3</f>
        <v>60</v>
      </c>
      <c r="F3" s="26">
        <f>Item1!E3</f>
        <v>1207.47</v>
      </c>
      <c r="G3" s="26">
        <f>ROUND((E3*F3),2)</f>
        <v>72448.2</v>
      </c>
    </row>
    <row r="4" spans="1:7" ht="60" x14ac:dyDescent="0.25">
      <c r="A4" s="25" t="s">
        <v>36</v>
      </c>
      <c r="B4" s="25">
        <f>Item2!A3</f>
        <v>2</v>
      </c>
      <c r="C4" s="27" t="str">
        <f>Item2!B3</f>
        <v>Cabo em cobre, tipo PP, 4 x 4,00 mm² (quatro vias com bitola de 4,00 mm²). Cabo do tipo flexível e capa de PVC. Rolo com 100m</v>
      </c>
      <c r="D4" s="25" t="str">
        <f>Item2!C3</f>
        <v>unidade</v>
      </c>
      <c r="E4" s="25">
        <f>Item2!D3</f>
        <v>20</v>
      </c>
      <c r="F4" s="26">
        <f>Item2!E3</f>
        <v>1220.72</v>
      </c>
      <c r="G4" s="26">
        <f t="shared" ref="G4:G24" si="0">ROUND((E4*F4),2)</f>
        <v>24414.400000000001</v>
      </c>
    </row>
    <row r="5" spans="1:7" ht="60" x14ac:dyDescent="0.25">
      <c r="A5" s="25" t="s">
        <v>36</v>
      </c>
      <c r="B5" s="25">
        <f>Item3!A3</f>
        <v>3</v>
      </c>
      <c r="C5" s="27" t="str">
        <f>Item3!B3</f>
        <v>Cabo em cobre, tipo PP, 4 x 6,00 mm² (quatro vias com bitola de 6,00 mm²). Cabo do tipo flexível e capa de PVC. Rolo com 100m</v>
      </c>
      <c r="D5" s="25" t="str">
        <f>Item3!C3</f>
        <v>unidade</v>
      </c>
      <c r="E5" s="25">
        <f>Item3!D3</f>
        <v>20</v>
      </c>
      <c r="F5" s="26">
        <f>Item3!E3</f>
        <v>1982.07</v>
      </c>
      <c r="G5" s="26">
        <f t="shared" si="0"/>
        <v>39641.4</v>
      </c>
    </row>
    <row r="6" spans="1:7" ht="90" x14ac:dyDescent="0.25">
      <c r="A6" s="25" t="s">
        <v>36</v>
      </c>
      <c r="B6" s="25">
        <f>Item4!A3</f>
        <v>4</v>
      </c>
      <c r="C6" s="27" t="str">
        <f>Item4!B3</f>
        <v>Cabo flexível em cobre com bitola de 2,50 mm², classe de isolamento 0,75kV, isolamento em PVC, fornecido em embalagens fechadas lacradas pelo fabricante, na cor branca. Rolo com 100m</v>
      </c>
      <c r="D6" s="25" t="str">
        <f>Item4!C3</f>
        <v>unidade</v>
      </c>
      <c r="E6" s="25">
        <f>Item4!D3</f>
        <v>40</v>
      </c>
      <c r="F6" s="26">
        <f>Item4!E3</f>
        <v>143.52000000000001</v>
      </c>
      <c r="G6" s="26">
        <f t="shared" si="0"/>
        <v>5740.8</v>
      </c>
    </row>
    <row r="7" spans="1:7" ht="255" x14ac:dyDescent="0.25">
      <c r="A7" s="25" t="s">
        <v>36</v>
      </c>
      <c r="B7" s="25">
        <f>Item5!A3</f>
        <v>5</v>
      </c>
      <c r="C7" s="27" t="str">
        <f>Item5!B3</f>
        <v>Conector Fêmea RJ-45 CAT 6
Especificações técnicas:
• Conector fêmea Categoria 6 para cabo UTP sólido ou flexível;
• Tipo de conector RJ-45;
• Fabricado em termoplástico não propagante a chama UL 94V-0;
• Diâmetro do Condutor: 26 a 22 AWG;
• Cor: transparente;
Normas:
• ANSI/TIA-568-2-D;
• ISO/IEC DIS 11801;
• NBR 14565;
Garantia do Fabricante:12 meses.
Referências: Furukawa Conector Fêmea RJ-45 GigaLan CAT6;
Panduit plug RJ-45 CAT 6</v>
      </c>
      <c r="D7" s="25" t="str">
        <f>Item5!C3</f>
        <v>unidade</v>
      </c>
      <c r="E7" s="25">
        <f>Item5!D3</f>
        <v>500</v>
      </c>
      <c r="F7" s="26">
        <f>Item5!E3</f>
        <v>10.81</v>
      </c>
      <c r="G7" s="26">
        <f t="shared" si="0"/>
        <v>5405</v>
      </c>
    </row>
    <row r="8" spans="1:7" ht="195" x14ac:dyDescent="0.25">
      <c r="A8" s="25" t="s">
        <v>36</v>
      </c>
      <c r="B8" s="25">
        <f>Item6!A3</f>
        <v>6</v>
      </c>
      <c r="C8" s="27" t="str">
        <f>Item6!B3</f>
        <v>Conector Macho RJ-45 CAT6Especificações técnicas:• Conector macho Categoria 6 para cabo UTP sólido ou flexível;• Tipo de conector RJ-45;• Fabricado em termoplástico não propagante a chama UL 94V-0;• Diâmetro do Condutor: 26 a 22 AWG;• Cor: transparente;Normas:• ANSI/TIA-568;• ISO/IEC DIS 11801;• NBR 14565;Garantia do Fabricante:12 meses.ReferênciasFurukawa plug RJ-45 GigaLan CAT6;Panduit plug RJ-45 CAT 6</v>
      </c>
      <c r="D8" s="25" t="str">
        <f>Item6!C3</f>
        <v>unidade</v>
      </c>
      <c r="E8" s="25">
        <f>Item6!D3</f>
        <v>500</v>
      </c>
      <c r="F8" s="26">
        <f>Item6!E3</f>
        <v>0.4</v>
      </c>
      <c r="G8" s="26">
        <f t="shared" si="0"/>
        <v>200</v>
      </c>
    </row>
    <row r="9" spans="1:7" ht="30" x14ac:dyDescent="0.25">
      <c r="A9" s="25" t="s">
        <v>36</v>
      </c>
      <c r="B9" s="25">
        <f>Item7!A3</f>
        <v>7</v>
      </c>
      <c r="C9" s="27" t="str">
        <f>Item7!B3</f>
        <v>Filtro de linha com plug 2P+T e 5 tomadas 2P+T</v>
      </c>
      <c r="D9" s="25" t="str">
        <f>Item7!C3</f>
        <v>unidade</v>
      </c>
      <c r="E9" s="25">
        <f>Item7!D3</f>
        <v>100</v>
      </c>
      <c r="F9" s="26">
        <f>Item7!E3</f>
        <v>21.98</v>
      </c>
      <c r="G9" s="26">
        <f t="shared" si="0"/>
        <v>2198</v>
      </c>
    </row>
    <row r="10" spans="1:7" ht="120" x14ac:dyDescent="0.25">
      <c r="A10" s="25" t="s">
        <v>36</v>
      </c>
      <c r="B10" s="25">
        <f>Item8!A3</f>
        <v>8</v>
      </c>
      <c r="C10" s="27" t="str">
        <f>Item8!B3</f>
        <v>Fita adesiva Silver Tape (preta) 48mm x 50m
Obs.: É obrigação da Contratada, entregar materiais com intervalo de tempo decorrido entre a data de entrega e a data final de validade, equivalente a no mínimo 75% do total do prazo de validade</v>
      </c>
      <c r="D10" s="25" t="str">
        <f>Item8!C3</f>
        <v>unidade</v>
      </c>
      <c r="E10" s="25">
        <f>Item8!D3</f>
        <v>100</v>
      </c>
      <c r="F10" s="26">
        <f>Item8!E3</f>
        <v>20.22</v>
      </c>
      <c r="G10" s="26">
        <f t="shared" si="0"/>
        <v>2022</v>
      </c>
    </row>
    <row r="11" spans="1:7" ht="30" x14ac:dyDescent="0.25">
      <c r="A11" s="25" t="s">
        <v>36</v>
      </c>
      <c r="B11" s="25">
        <f>Item9!A3</f>
        <v>9</v>
      </c>
      <c r="C11" s="27" t="str">
        <f>Item9!B3</f>
        <v>Gás refrigerante R410 A, garrafa com 11,350 kg</v>
      </c>
      <c r="D11" s="25" t="str">
        <f>Item9!C3</f>
        <v>unidade</v>
      </c>
      <c r="E11" s="25">
        <f>Item9!D3</f>
        <v>30</v>
      </c>
      <c r="F11" s="26">
        <f>Item9!E3</f>
        <v>548.32000000000005</v>
      </c>
      <c r="G11" s="26">
        <f t="shared" si="0"/>
        <v>16449.599999999999</v>
      </c>
    </row>
    <row r="12" spans="1:7" ht="45" x14ac:dyDescent="0.25">
      <c r="A12" s="25" t="s">
        <v>36</v>
      </c>
      <c r="B12" s="25">
        <f>Item10!A3</f>
        <v>10</v>
      </c>
      <c r="C12" s="27" t="str">
        <f>Item10!B3</f>
        <v>Lâmpada LED de 9W, , Luz branca, Base E27, marcas Osram, Eurolux, Starlux ou similar técnico</v>
      </c>
      <c r="D12" s="25" t="str">
        <f>Item10!C3</f>
        <v>unidade</v>
      </c>
      <c r="E12" s="25">
        <f>Item10!D3</f>
        <v>200</v>
      </c>
      <c r="F12" s="26">
        <f>Item10!E3</f>
        <v>6.34</v>
      </c>
      <c r="G12" s="26">
        <f t="shared" si="0"/>
        <v>1268</v>
      </c>
    </row>
    <row r="13" spans="1:7" ht="120" x14ac:dyDescent="0.25">
      <c r="A13" s="25" t="s">
        <v>36</v>
      </c>
      <c r="B13" s="25">
        <f>Item11!A3</f>
        <v>11</v>
      </c>
      <c r="C13" s="27" t="str">
        <f>Item11!B3</f>
        <v>Lâmpada LED Tubular Tipo T8, 120 cm, base G13, 127/220V, fluxo luminoso mínimo de 1.800lm, potência máxima de 18W, luz branca (temperatura de cor 6000-6500K), vida útil estimada igual ou maior que 25.000 horas, compatível com a certificação do Inmetro.
Marca: Osram, Phillips ou similar.</v>
      </c>
      <c r="D13" s="25" t="str">
        <f>Item11!C3</f>
        <v>unidade</v>
      </c>
      <c r="E13" s="25">
        <f>Item11!D3</f>
        <v>1000</v>
      </c>
      <c r="F13" s="26">
        <f>Item11!E3</f>
        <v>11.52</v>
      </c>
      <c r="G13" s="26">
        <f t="shared" si="0"/>
        <v>11520</v>
      </c>
    </row>
    <row r="14" spans="1:7" x14ac:dyDescent="0.25">
      <c r="A14" s="25" t="s">
        <v>36</v>
      </c>
      <c r="B14" s="25">
        <f>Item12!A3</f>
        <v>12</v>
      </c>
      <c r="C14" s="27" t="str">
        <f>Item12!B3</f>
        <v>Massa corrida PVA comum.</v>
      </c>
      <c r="D14" s="25" t="str">
        <f>Item12!C3</f>
        <v>18l</v>
      </c>
      <c r="E14" s="25">
        <f>Item12!D3</f>
        <v>100</v>
      </c>
      <c r="F14" s="26">
        <f>Item12!E3</f>
        <v>49.86</v>
      </c>
      <c r="G14" s="26">
        <f t="shared" si="0"/>
        <v>4986</v>
      </c>
    </row>
    <row r="15" spans="1:7" ht="30" x14ac:dyDescent="0.25">
      <c r="A15" s="25" t="s">
        <v>36</v>
      </c>
      <c r="B15" s="25">
        <f>Item13!A3</f>
        <v>13</v>
      </c>
      <c r="C15" s="27" t="str">
        <f>Item13!B3</f>
        <v>Massa POLIÉSTER, ¼ lata (massa automotiva).</v>
      </c>
      <c r="D15" s="25" t="str">
        <f>Item13!C3</f>
        <v>unidade</v>
      </c>
      <c r="E15" s="25">
        <f>Item13!D3</f>
        <v>100</v>
      </c>
      <c r="F15" s="26">
        <f>Item13!E3</f>
        <v>28.85</v>
      </c>
      <c r="G15" s="26">
        <f t="shared" si="0"/>
        <v>2885</v>
      </c>
    </row>
    <row r="16" spans="1:7" ht="255" x14ac:dyDescent="0.25">
      <c r="A16" s="25" t="s">
        <v>36</v>
      </c>
      <c r="B16" s="25">
        <f>Item14!A3</f>
        <v>14</v>
      </c>
      <c r="C16" s="27" t="str">
        <f>Item14!B3</f>
        <v>Patch Panel Categoria 6Especificações técnicas:· O produto deve atender os requisitos estabelecidos nas normas para Categoria 6/ Classe E;· 24 posições RJ-45;· Corpo fabricado em termoplástico de alto impacto não propagante a chama (UL 94 V-0);· Painel frontal em plástico com porta etiquetas para identificação;· Possibilidade de crimpagem T568A ou T568B;Deve possuir uma guia traseira feita em termoplástico para organizar os cabos;Instalação em rack 19";· Normas:· EIA/TIA-569;· ISO/IEC 11801;· NBR 14565;· ANSI/TIA-606.Garantia do Fabricante:12 meses.Modelo de referência: Furukawa Patch Panel Gigalan CAT6 24P</v>
      </c>
      <c r="D16" s="25" t="str">
        <f>Item14!C3</f>
        <v>unidade</v>
      </c>
      <c r="E16" s="25">
        <f>Item14!D3</f>
        <v>20</v>
      </c>
      <c r="F16" s="26">
        <f>Item14!E3</f>
        <v>234.57</v>
      </c>
      <c r="G16" s="26">
        <f t="shared" si="0"/>
        <v>4691.3999999999996</v>
      </c>
    </row>
    <row r="17" spans="1:7" x14ac:dyDescent="0.25">
      <c r="A17" s="25" t="s">
        <v>36</v>
      </c>
      <c r="B17" s="25">
        <f>Item15!A3</f>
        <v>15</v>
      </c>
      <c r="C17" s="27" t="str">
        <f>Item15!B3</f>
        <v>Plug 2P+T fêmea, padrão brasileiro, 10A</v>
      </c>
      <c r="D17" s="25" t="str">
        <f>Item15!C3</f>
        <v>unidade</v>
      </c>
      <c r="E17" s="25">
        <f>Item15!D3</f>
        <v>1000</v>
      </c>
      <c r="F17" s="26">
        <f>Item15!E3</f>
        <v>3.67</v>
      </c>
      <c r="G17" s="26">
        <f t="shared" si="0"/>
        <v>3670</v>
      </c>
    </row>
    <row r="18" spans="1:7" x14ac:dyDescent="0.25">
      <c r="A18" s="25" t="s">
        <v>36</v>
      </c>
      <c r="B18" s="25">
        <f>Item16!A3</f>
        <v>16</v>
      </c>
      <c r="C18" s="27" t="str">
        <f>Item16!B3</f>
        <v>Plug 2P+T fêmea, padrão brasileiro, 20 A</v>
      </c>
      <c r="D18" s="25" t="str">
        <f>Item16!C3</f>
        <v>unidade</v>
      </c>
      <c r="E18" s="25">
        <f>Item16!D3</f>
        <v>1000</v>
      </c>
      <c r="F18" s="26">
        <f>Item16!E3</f>
        <v>6.89</v>
      </c>
      <c r="G18" s="26">
        <f t="shared" si="0"/>
        <v>6890</v>
      </c>
    </row>
    <row r="19" spans="1:7" x14ac:dyDescent="0.25">
      <c r="A19" s="25" t="s">
        <v>36</v>
      </c>
      <c r="B19" s="25">
        <f>Item17!A3</f>
        <v>17</v>
      </c>
      <c r="C19" s="27" t="str">
        <f>Item17!B3</f>
        <v>Primer universal branco.</v>
      </c>
      <c r="D19" s="25" t="str">
        <f>Item17!C3</f>
        <v>gl</v>
      </c>
      <c r="E19" s="25">
        <f>Item17!D3</f>
        <v>100</v>
      </c>
      <c r="F19" s="26">
        <f>Item17!E3</f>
        <v>112.83</v>
      </c>
      <c r="G19" s="26">
        <f t="shared" si="0"/>
        <v>11283</v>
      </c>
    </row>
    <row r="20" spans="1:7" x14ac:dyDescent="0.25">
      <c r="A20" s="25" t="s">
        <v>36</v>
      </c>
      <c r="B20" s="25">
        <f>Item18!A3</f>
        <v>18</v>
      </c>
      <c r="C20" s="27" t="str">
        <f>Item18!B3</f>
        <v>Solvente para limpeza .</v>
      </c>
      <c r="D20" s="25" t="str">
        <f>Item18!C3</f>
        <v>5l</v>
      </c>
      <c r="E20" s="25">
        <f>Item18!D3</f>
        <v>100</v>
      </c>
      <c r="F20" s="26">
        <f>Item18!E3</f>
        <v>83.03</v>
      </c>
      <c r="G20" s="26">
        <f t="shared" si="0"/>
        <v>8303</v>
      </c>
    </row>
    <row r="21" spans="1:7" ht="30" x14ac:dyDescent="0.25">
      <c r="A21" s="25" t="s">
        <v>36</v>
      </c>
      <c r="B21" s="25">
        <f>Item19!A3</f>
        <v>19</v>
      </c>
      <c r="C21" s="27" t="str">
        <f>Item19!B3</f>
        <v>Solvente Poliuretano (Thinner PU)- embalagem 5 litros.</v>
      </c>
      <c r="D21" s="25" t="str">
        <f>Item19!C3</f>
        <v>unidade</v>
      </c>
      <c r="E21" s="25">
        <f>Item19!D3</f>
        <v>50</v>
      </c>
      <c r="F21" s="26">
        <f>Item19!E3</f>
        <v>68.7</v>
      </c>
      <c r="G21" s="26">
        <f t="shared" si="0"/>
        <v>3435</v>
      </c>
    </row>
    <row r="22" spans="1:7" ht="30" x14ac:dyDescent="0.25">
      <c r="A22" s="25" t="s">
        <v>36</v>
      </c>
      <c r="B22" s="25">
        <f>Item20!A3</f>
        <v>20</v>
      </c>
      <c r="C22" s="27" t="str">
        <f>Item20!B3</f>
        <v>Tinta acrílica fosca, cor branco neve, sem cheiro.</v>
      </c>
      <c r="D22" s="25" t="str">
        <f>Item20!C3</f>
        <v>18l</v>
      </c>
      <c r="E22" s="25">
        <f>Item20!D3</f>
        <v>50</v>
      </c>
      <c r="F22" s="26">
        <f>Item20!E3</f>
        <v>169.47</v>
      </c>
      <c r="G22" s="26">
        <f t="shared" si="0"/>
        <v>8473.5</v>
      </c>
    </row>
    <row r="23" spans="1:7" x14ac:dyDescent="0.25">
      <c r="A23" s="25" t="s">
        <v>36</v>
      </c>
      <c r="B23" s="25">
        <f>Item21!A3</f>
        <v>21</v>
      </c>
      <c r="C23" s="27" t="str">
        <f>Item21!B3</f>
        <v>Tinta acrílica para concreto, cor cinza .</v>
      </c>
      <c r="D23" s="25" t="str">
        <f>Item21!C3</f>
        <v>18l</v>
      </c>
      <c r="E23" s="25">
        <f>Item21!D3</f>
        <v>50</v>
      </c>
      <c r="F23" s="26">
        <f>Item21!E3</f>
        <v>203.92</v>
      </c>
      <c r="G23" s="26">
        <f t="shared" si="0"/>
        <v>10196</v>
      </c>
    </row>
    <row r="24" spans="1:7" x14ac:dyDescent="0.25">
      <c r="A24" s="25" t="s">
        <v>36</v>
      </c>
      <c r="B24" s="25">
        <f>Item22!A3</f>
        <v>22</v>
      </c>
      <c r="C24" s="27" t="str">
        <f>Item22!B3</f>
        <v>Tinta acrílica para piso, cor amarelo</v>
      </c>
      <c r="D24" s="25" t="str">
        <f>Item22!C3</f>
        <v>gl</v>
      </c>
      <c r="E24" s="25">
        <f>Item22!D3</f>
        <v>100</v>
      </c>
      <c r="F24" s="26">
        <f>Item22!E3</f>
        <v>64.989999999999995</v>
      </c>
      <c r="G24" s="26">
        <f t="shared" si="0"/>
        <v>6499</v>
      </c>
    </row>
    <row r="25" spans="1:7" x14ac:dyDescent="0.25">
      <c r="A25" s="28"/>
      <c r="B25" s="28"/>
      <c r="C25" s="29"/>
      <c r="D25" s="30"/>
      <c r="E25" s="30"/>
      <c r="F25" s="31"/>
      <c r="G25" s="31"/>
    </row>
    <row r="26" spans="1:7" ht="15.75" thickBot="1" x14ac:dyDescent="0.3"/>
    <row r="27" spans="1:7" ht="16.5" thickTop="1" thickBot="1" x14ac:dyDescent="0.3">
      <c r="D27" s="22"/>
      <c r="E27" s="23" t="s">
        <v>33</v>
      </c>
      <c r="F27" s="24">
        <f>SUM(G:G)</f>
        <v>252619.3</v>
      </c>
    </row>
    <row r="28" spans="1:7" ht="15.75" thickTop="1" x14ac:dyDescent="0.25">
      <c r="F28" s="3"/>
    </row>
    <row r="29" spans="1:7" x14ac:dyDescent="0.25">
      <c r="D29" s="21" t="s">
        <v>32</v>
      </c>
      <c r="E29" s="13">
        <f>MAX(A:A)</f>
        <v>0</v>
      </c>
    </row>
    <row r="31" spans="1:7" x14ac:dyDescent="0.25">
      <c r="D31" s="18" t="s">
        <v>31</v>
      </c>
      <c r="E31" s="19">
        <v>1</v>
      </c>
      <c r="F31" s="20">
        <f>SUMIF(A:A,E31,G:G)</f>
        <v>0</v>
      </c>
    </row>
    <row r="32" spans="1:7" x14ac:dyDescent="0.25">
      <c r="D32" s="18" t="s">
        <v>31</v>
      </c>
      <c r="E32" s="19">
        <v>2</v>
      </c>
      <c r="F32" s="20">
        <f>SUMIF(A:A,E32,G:G)</f>
        <v>0</v>
      </c>
    </row>
    <row r="33" spans="4:6" x14ac:dyDescent="0.25">
      <c r="D33" s="18" t="s">
        <v>31</v>
      </c>
      <c r="E33" s="19">
        <v>3</v>
      </c>
      <c r="F33" s="20">
        <f>SUMIF(A:A,E33,G:G)</f>
        <v>0</v>
      </c>
    </row>
    <row r="34" spans="4:6" x14ac:dyDescent="0.25">
      <c r="D34" s="18" t="s">
        <v>31</v>
      </c>
      <c r="E34" s="19">
        <v>4</v>
      </c>
      <c r="F34" s="20">
        <f>SUMIF(A:A,E34,G:G)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58</v>
      </c>
      <c r="C3" s="36" t="s">
        <v>7</v>
      </c>
      <c r="D3" s="36">
        <v>20</v>
      </c>
      <c r="E3" s="37">
        <f>IF(C20&lt;=25%,D20,MIN(E20:F20))</f>
        <v>1982.07</v>
      </c>
      <c r="F3" s="37">
        <f>MIN(H3:H17)</f>
        <v>1655.83</v>
      </c>
      <c r="G3" s="5" t="s">
        <v>88</v>
      </c>
      <c r="H3" s="16">
        <v>1655.83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89</v>
      </c>
      <c r="H4" s="16">
        <v>1780.4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90</v>
      </c>
      <c r="H5" s="16">
        <v>2509.98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461.40670487109242</v>
      </c>
      <c r="B20" s="8">
        <f>COUNT(H3:H17)</f>
        <v>3</v>
      </c>
      <c r="C20" s="9">
        <f>IF(B20&lt;2,"n/a",(A20/D20))</f>
        <v>0.23279031763312721</v>
      </c>
      <c r="D20" s="10">
        <f>IFERROR(ROUND(AVERAGE(H3:H17),2),"")</f>
        <v>1982.07</v>
      </c>
      <c r="E20" s="15" t="str">
        <f>IFERROR(ROUND(IF(B20&lt;2,"n/a",(IF(C20&lt;=25%,"n/a",AVERAGE(I3:I17)))),2),"n/a")</f>
        <v>n/a</v>
      </c>
      <c r="F20" s="10">
        <f>IFERROR(ROUND(MEDIAN(H3:H17),2),"")</f>
        <v>1780.4</v>
      </c>
      <c r="G20" s="11" t="str">
        <f>IFERROR(INDEX(G3:G17,MATCH(H20,H3:H17,0)),"")</f>
        <v>INST FED DE EDU PE- N02/22 RJ (ATUALIZ)</v>
      </c>
      <c r="H20" s="12">
        <f>F3</f>
        <v>1655.83</v>
      </c>
    </row>
    <row r="22" spans="1:9" x14ac:dyDescent="0.25">
      <c r="G22" s="13" t="s">
        <v>20</v>
      </c>
      <c r="H22" s="14">
        <f>IF(C20&lt;=25%,D20,MIN(E20:F20))</f>
        <v>1982.07</v>
      </c>
    </row>
    <row r="23" spans="1:9" x14ac:dyDescent="0.25">
      <c r="G23" s="13" t="s">
        <v>6</v>
      </c>
      <c r="H23" s="14">
        <f>ROUND(H22,2)*D3</f>
        <v>39641.4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59</v>
      </c>
      <c r="C3" s="36" t="s">
        <v>7</v>
      </c>
      <c r="D3" s="36">
        <v>40</v>
      </c>
      <c r="E3" s="37">
        <f>IF(C20&lt;=25%,D20,MIN(E20:F20))</f>
        <v>143.52000000000001</v>
      </c>
      <c r="F3" s="37">
        <f>MIN(H3:H17)</f>
        <v>124.87</v>
      </c>
      <c r="G3" s="5" t="s">
        <v>91</v>
      </c>
      <c r="H3" s="16">
        <v>124.87</v>
      </c>
      <c r="I3" s="17">
        <f>IF(H3="","",(IF($C$20&lt;25%,"n/a",IF(H3&lt;=($D$20+$A$20),H3,"Descartado"))))</f>
        <v>124.87</v>
      </c>
    </row>
    <row r="4" spans="1:9" x14ac:dyDescent="0.25">
      <c r="A4" s="38"/>
      <c r="B4" s="35"/>
      <c r="C4" s="36"/>
      <c r="D4" s="36"/>
      <c r="E4" s="37"/>
      <c r="F4" s="37"/>
      <c r="G4" s="5" t="s">
        <v>92</v>
      </c>
      <c r="H4" s="16">
        <v>150.80000000000001</v>
      </c>
      <c r="I4" s="17">
        <f t="shared" ref="I4:I17" si="0">IF(H4="","",(IF($C$20&lt;25%,"n/a",IF(H4&lt;=($D$20+$A$20),H4,"Descartado"))))</f>
        <v>150.80000000000001</v>
      </c>
    </row>
    <row r="5" spans="1:9" x14ac:dyDescent="0.25">
      <c r="A5" s="38"/>
      <c r="B5" s="35"/>
      <c r="C5" s="36"/>
      <c r="D5" s="36"/>
      <c r="E5" s="37"/>
      <c r="F5" s="37"/>
      <c r="G5" s="5" t="s">
        <v>93</v>
      </c>
      <c r="H5" s="16">
        <v>154.9</v>
      </c>
      <c r="I5" s="17">
        <f t="shared" si="0"/>
        <v>154.9</v>
      </c>
    </row>
    <row r="6" spans="1:9" x14ac:dyDescent="0.25">
      <c r="A6" s="38"/>
      <c r="B6" s="35"/>
      <c r="C6" s="36"/>
      <c r="D6" s="36"/>
      <c r="E6" s="37"/>
      <c r="F6" s="37"/>
      <c r="G6" s="5" t="s">
        <v>94</v>
      </c>
      <c r="H6" s="16">
        <v>339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98.638516268578712</v>
      </c>
      <c r="B20" s="8">
        <f>COUNT(H3:H17)</f>
        <v>4</v>
      </c>
      <c r="C20" s="9">
        <f>IF(B20&lt;2,"n/a",(A20/D20))</f>
        <v>0.51270084863339427</v>
      </c>
      <c r="D20" s="10">
        <f>IFERROR(ROUND(AVERAGE(H3:H17),2),"")</f>
        <v>192.39</v>
      </c>
      <c r="E20" s="15">
        <f>IFERROR(ROUND(IF(B20&lt;2,"n/a",(IF(C20&lt;=25%,"n/a",AVERAGE(I3:I17)))),2),"n/a")</f>
        <v>143.52000000000001</v>
      </c>
      <c r="F20" s="10">
        <f>IFERROR(ROUND(MEDIAN(H3:H17),2),"")</f>
        <v>152.85</v>
      </c>
      <c r="G20" s="11" t="str">
        <f>IFERROR(INDEX(G3:G17,MATCH(H20,H3:H17,0)),"")</f>
        <v>COMERCIAL SPONCHIADO LTDA</v>
      </c>
      <c r="H20" s="12">
        <f>F3</f>
        <v>124.87</v>
      </c>
    </row>
    <row r="22" spans="1:9" x14ac:dyDescent="0.25">
      <c r="G22" s="13" t="s">
        <v>20</v>
      </c>
      <c r="H22" s="14">
        <f>IF(C20&lt;=25%,D20,MIN(E20:F20))</f>
        <v>143.52000000000001</v>
      </c>
    </row>
    <row r="23" spans="1:9" x14ac:dyDescent="0.25">
      <c r="G23" s="13" t="s">
        <v>6</v>
      </c>
      <c r="H23" s="14">
        <f>ROUND(H22,2)*D3</f>
        <v>5740.8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60</v>
      </c>
      <c r="C3" s="36" t="s">
        <v>7</v>
      </c>
      <c r="D3" s="36">
        <v>500</v>
      </c>
      <c r="E3" s="37">
        <f>IF(C20&lt;=25%,D20,MIN(E20:F20))</f>
        <v>10.81</v>
      </c>
      <c r="F3" s="37">
        <f>MIN(H3:H17)</f>
        <v>7.91</v>
      </c>
      <c r="G3" s="5" t="s">
        <v>95</v>
      </c>
      <c r="H3" s="16">
        <v>50.61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96</v>
      </c>
      <c r="H4" s="16">
        <v>7.91</v>
      </c>
      <c r="I4" s="17">
        <f t="shared" ref="I4:I17" si="0">IF(H4="","",(IF($C$20&lt;25%,"n/a",IF(H4&lt;=($D$20+$A$20),H4,"Descartado"))))</f>
        <v>7.91</v>
      </c>
    </row>
    <row r="5" spans="1:9" x14ac:dyDescent="0.25">
      <c r="A5" s="38"/>
      <c r="B5" s="35"/>
      <c r="C5" s="36"/>
      <c r="D5" s="36"/>
      <c r="E5" s="37"/>
      <c r="F5" s="37"/>
      <c r="G5" s="5" t="s">
        <v>97</v>
      </c>
      <c r="H5" s="16">
        <v>13.71</v>
      </c>
      <c r="I5" s="17">
        <f t="shared" si="0"/>
        <v>13.71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23.160814608586929</v>
      </c>
      <c r="B20" s="8">
        <f>COUNT(H3:H17)</f>
        <v>3</v>
      </c>
      <c r="C20" s="9">
        <f>IF(B20&lt;2,"n/a",(A20/D20))</f>
        <v>0.96182784919380937</v>
      </c>
      <c r="D20" s="10">
        <f>IFERROR(ROUND(AVERAGE(H3:H17),2),"")</f>
        <v>24.08</v>
      </c>
      <c r="E20" s="15">
        <f>IFERROR(ROUND(IF(B20&lt;2,"n/a",(IF(C20&lt;=25%,"n/a",AVERAGE(I3:I17)))),2),"n/a")</f>
        <v>10.81</v>
      </c>
      <c r="F20" s="10">
        <f>IFERROR(ROUND(MEDIAN(H3:H17),2),"")</f>
        <v>13.71</v>
      </c>
      <c r="G20" s="11" t="str">
        <f>IFERROR(INDEX(G3:G17,MATCH(H20,H3:H17,0)),"")</f>
        <v>KLUX COMERCIO E ENGENHARIA LTDA</v>
      </c>
      <c r="H20" s="12">
        <f>F3</f>
        <v>7.91</v>
      </c>
    </row>
    <row r="22" spans="1:9" x14ac:dyDescent="0.25">
      <c r="G22" s="13" t="s">
        <v>20</v>
      </c>
      <c r="H22" s="14">
        <f>IF(C20&lt;=25%,D20,MIN(E20:F20))</f>
        <v>10.81</v>
      </c>
    </row>
    <row r="23" spans="1:9" x14ac:dyDescent="0.25">
      <c r="G23" s="13" t="s">
        <v>6</v>
      </c>
      <c r="H23" s="14">
        <f>ROUND(H22,2)*D3</f>
        <v>5405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61</v>
      </c>
      <c r="C3" s="36" t="s">
        <v>7</v>
      </c>
      <c r="D3" s="36">
        <v>500</v>
      </c>
      <c r="E3" s="37">
        <f>IF(C20&lt;=25%,D20,MIN(E20:F20))</f>
        <v>0.4</v>
      </c>
      <c r="F3" s="37">
        <f>MIN(H3:H17)</f>
        <v>0.24</v>
      </c>
      <c r="G3" s="5" t="s">
        <v>98</v>
      </c>
      <c r="H3" s="16">
        <v>0.5</v>
      </c>
      <c r="I3" s="17">
        <f>IF(H3="","",(IF($C$20&lt;25%,"n/a",IF(H3&lt;=($D$20+$A$20),H3,"Descartado"))))</f>
        <v>0.5</v>
      </c>
    </row>
    <row r="4" spans="1:9" x14ac:dyDescent="0.25">
      <c r="A4" s="38"/>
      <c r="B4" s="35"/>
      <c r="C4" s="36"/>
      <c r="D4" s="36"/>
      <c r="E4" s="37"/>
      <c r="F4" s="37"/>
      <c r="G4" s="5" t="s">
        <v>99</v>
      </c>
      <c r="H4" s="16">
        <v>0.37</v>
      </c>
      <c r="I4" s="17">
        <f t="shared" ref="I4:I17" si="0">IF(H4="","",(IF($C$20&lt;25%,"n/a",IF(H4&lt;=($D$20+$A$20),H4,"Descartado"))))</f>
        <v>0.37</v>
      </c>
    </row>
    <row r="5" spans="1:9" x14ac:dyDescent="0.25">
      <c r="A5" s="38"/>
      <c r="B5" s="35"/>
      <c r="C5" s="36"/>
      <c r="D5" s="36"/>
      <c r="E5" s="37"/>
      <c r="F5" s="37"/>
      <c r="G5" s="5" t="s">
        <v>100</v>
      </c>
      <c r="H5" s="16">
        <v>0.24</v>
      </c>
      <c r="I5" s="17">
        <f t="shared" si="0"/>
        <v>0.24</v>
      </c>
    </row>
    <row r="6" spans="1:9" x14ac:dyDescent="0.25">
      <c r="A6" s="38"/>
      <c r="B6" s="35"/>
      <c r="C6" s="36"/>
      <c r="D6" s="36"/>
      <c r="E6" s="37"/>
      <c r="F6" s="37"/>
      <c r="G6" s="5" t="s">
        <v>101</v>
      </c>
      <c r="H6" s="16">
        <v>0.48</v>
      </c>
      <c r="I6" s="17">
        <f t="shared" si="0"/>
        <v>0.48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0.11954775893619561</v>
      </c>
      <c r="B20" s="8">
        <f>COUNT(H3:H17)</f>
        <v>4</v>
      </c>
      <c r="C20" s="9">
        <f>IF(B20&lt;2,"n/a",(A20/D20))</f>
        <v>0.29886939734048901</v>
      </c>
      <c r="D20" s="10">
        <f>IFERROR(ROUND(AVERAGE(H3:H17),2),"")</f>
        <v>0.4</v>
      </c>
      <c r="E20" s="15">
        <f>IFERROR(ROUND(IF(B20&lt;2,"n/a",(IF(C20&lt;=25%,"n/a",AVERAGE(I3:I17)))),2),"n/a")</f>
        <v>0.4</v>
      </c>
      <c r="F20" s="10">
        <f>IFERROR(ROUND(MEDIAN(H3:H17),2),"")</f>
        <v>0.43</v>
      </c>
      <c r="G20" s="11" t="str">
        <f>IFERROR(INDEX(G3:G17,MATCH(H20,H3:H17,0)),"")</f>
        <v>MARIRANE PINHEIRO ARAUJO</v>
      </c>
      <c r="H20" s="12">
        <f>F3</f>
        <v>0.24</v>
      </c>
    </row>
    <row r="22" spans="1:9" x14ac:dyDescent="0.25">
      <c r="G22" s="13" t="s">
        <v>20</v>
      </c>
      <c r="H22" s="14">
        <f>IF(C20&lt;=25%,D20,MIN(E20:F20))</f>
        <v>0.4</v>
      </c>
    </row>
    <row r="23" spans="1:9" x14ac:dyDescent="0.25">
      <c r="G23" s="13" t="s">
        <v>6</v>
      </c>
      <c r="H23" s="14">
        <f>ROUND(H22,2)*D3</f>
        <v>200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62</v>
      </c>
      <c r="C3" s="36" t="s">
        <v>7</v>
      </c>
      <c r="D3" s="36">
        <v>100</v>
      </c>
      <c r="E3" s="37">
        <f>IF(C20&lt;=25%,D20,MIN(E20:F20))</f>
        <v>21.98</v>
      </c>
      <c r="F3" s="37">
        <f>MIN(H3:H17)</f>
        <v>18.399999999999999</v>
      </c>
      <c r="G3" s="5" t="s">
        <v>102</v>
      </c>
      <c r="H3" s="16">
        <v>18.399999999999999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103</v>
      </c>
      <c r="H4" s="16">
        <v>22.5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104</v>
      </c>
      <c r="H5" s="16">
        <v>23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105</v>
      </c>
      <c r="H6" s="16">
        <v>24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2.4635678733630764</v>
      </c>
      <c r="B20" s="8">
        <f>COUNT(H3:H17)</f>
        <v>4</v>
      </c>
      <c r="C20" s="9">
        <f>IF(B20&lt;2,"n/a",(A20/D20))</f>
        <v>0.11208225083544478</v>
      </c>
      <c r="D20" s="10">
        <f>IFERROR(ROUND(AVERAGE(H3:H17),2),"")</f>
        <v>21.98</v>
      </c>
      <c r="E20" s="15" t="str">
        <f>IFERROR(ROUND(IF(B20&lt;2,"n/a",(IF(C20&lt;=25%,"n/a",AVERAGE(I3:I17)))),2),"n/a")</f>
        <v>n/a</v>
      </c>
      <c r="F20" s="10">
        <f>IFERROR(ROUND(MEDIAN(H3:H17),2),"")</f>
        <v>22.75</v>
      </c>
      <c r="G20" s="11" t="str">
        <f>IFERROR(INDEX(G3:G17,MATCH(H20,H3:H17,0)),"")</f>
        <v>SB COMERCIO DE MATERIAIS</v>
      </c>
      <c r="H20" s="12">
        <f>F3</f>
        <v>18.399999999999999</v>
      </c>
    </row>
    <row r="22" spans="1:9" x14ac:dyDescent="0.25">
      <c r="G22" s="13" t="s">
        <v>20</v>
      </c>
      <c r="H22" s="14">
        <f>IF(C20&lt;=25%,D20,MIN(E20:F20))</f>
        <v>21.98</v>
      </c>
    </row>
    <row r="23" spans="1:9" x14ac:dyDescent="0.25">
      <c r="G23" s="13" t="s">
        <v>6</v>
      </c>
      <c r="H23" s="14">
        <f>ROUND(H22,2)*D3</f>
        <v>2198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63</v>
      </c>
      <c r="C3" s="36" t="s">
        <v>7</v>
      </c>
      <c r="D3" s="36">
        <v>100</v>
      </c>
      <c r="E3" s="37">
        <f>IF(C20&lt;=25%,D20,MIN(E20:F20))</f>
        <v>20.22</v>
      </c>
      <c r="F3" s="37">
        <f>MIN(H3:H17)</f>
        <v>17.239999999999998</v>
      </c>
      <c r="G3" s="5" t="s">
        <v>106</v>
      </c>
      <c r="H3" s="16">
        <v>17.239999999999998</v>
      </c>
      <c r="I3" s="17">
        <f>IF(H3="","",(IF($C$20&lt;25%,"n/a",IF(H3&lt;=($D$20+$A$20),H3,"Descartado"))))</f>
        <v>17.239999999999998</v>
      </c>
    </row>
    <row r="4" spans="1:9" x14ac:dyDescent="0.25">
      <c r="A4" s="38"/>
      <c r="B4" s="35"/>
      <c r="C4" s="36"/>
      <c r="D4" s="36"/>
      <c r="E4" s="37"/>
      <c r="F4" s="37"/>
      <c r="G4" s="5" t="s">
        <v>107</v>
      </c>
      <c r="H4" s="16">
        <v>23.2</v>
      </c>
      <c r="I4" s="17">
        <f t="shared" ref="I4:I17" si="0">IF(H4="","",(IF($C$20&lt;25%,"n/a",IF(H4&lt;=($D$20+$A$20),H4,"Descartado"))))</f>
        <v>23.2</v>
      </c>
    </row>
    <row r="5" spans="1:9" x14ac:dyDescent="0.25">
      <c r="A5" s="38"/>
      <c r="B5" s="35"/>
      <c r="C5" s="36"/>
      <c r="D5" s="36"/>
      <c r="E5" s="37"/>
      <c r="F5" s="37"/>
      <c r="G5" s="5" t="s">
        <v>108</v>
      </c>
      <c r="H5" s="16">
        <v>32.5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7.6906783402592849</v>
      </c>
      <c r="B20" s="8">
        <f>COUNT(H3:H17)</f>
        <v>3</v>
      </c>
      <c r="C20" s="9">
        <f>IF(B20&lt;2,"n/a",(A20/D20))</f>
        <v>0.31635863184941526</v>
      </c>
      <c r="D20" s="10">
        <f>IFERROR(ROUND(AVERAGE(H3:H17),2),"")</f>
        <v>24.31</v>
      </c>
      <c r="E20" s="15">
        <f>IFERROR(ROUND(IF(B20&lt;2,"n/a",(IF(C20&lt;=25%,"n/a",AVERAGE(I3:I17)))),2),"n/a")</f>
        <v>20.22</v>
      </c>
      <c r="F20" s="10">
        <f>IFERROR(ROUND(MEDIAN(H3:H17),2),"")</f>
        <v>23.2</v>
      </c>
      <c r="G20" s="11" t="str">
        <f>IFERROR(INDEX(G3:G17,MATCH(H20,H3:H17,0)),"")</f>
        <v>MAZEPEL ARTIGOS DE ESCRITORIO LTDA</v>
      </c>
      <c r="H20" s="12">
        <f>F3</f>
        <v>17.239999999999998</v>
      </c>
    </row>
    <row r="22" spans="1:9" x14ac:dyDescent="0.25">
      <c r="G22" s="13" t="s">
        <v>20</v>
      </c>
      <c r="H22" s="14">
        <f>IF(C20&lt;=25%,D20,MIN(E20:F20))</f>
        <v>20.22</v>
      </c>
    </row>
    <row r="23" spans="1:9" x14ac:dyDescent="0.25">
      <c r="G23" s="13" t="s">
        <v>6</v>
      </c>
      <c r="H23" s="14">
        <f>ROUND(H22,2)*D3</f>
        <v>2022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64</v>
      </c>
      <c r="C3" s="36" t="s">
        <v>7</v>
      </c>
      <c r="D3" s="36">
        <v>30</v>
      </c>
      <c r="E3" s="37">
        <f>IF(C20&lt;=25%,D20,MIN(E20:F20))</f>
        <v>548.32000000000005</v>
      </c>
      <c r="F3" s="37">
        <f>MIN(H3:H17)</f>
        <v>477.98</v>
      </c>
      <c r="G3" s="5" t="s">
        <v>109</v>
      </c>
      <c r="H3" s="16">
        <v>638</v>
      </c>
      <c r="I3" s="17">
        <f>IF(H3="","",(IF($C$20&lt;25%,"n/a",IF(H3&lt;=($D$20+$A$20),H3,"Descartado"))))</f>
        <v>638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539</v>
      </c>
      <c r="I4" s="17">
        <f t="shared" ref="I4:I17" si="0">IF(H4="","",(IF($C$20&lt;25%,"n/a",IF(H4&lt;=($D$20+$A$20),H4,"Descartado"))))</f>
        <v>539</v>
      </c>
    </row>
    <row r="5" spans="1:9" x14ac:dyDescent="0.25">
      <c r="A5" s="38"/>
      <c r="B5" s="35"/>
      <c r="C5" s="36"/>
      <c r="D5" s="36"/>
      <c r="E5" s="37"/>
      <c r="F5" s="37"/>
      <c r="G5" s="5" t="s">
        <v>111</v>
      </c>
      <c r="H5" s="16">
        <v>1100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112</v>
      </c>
      <c r="H6" s="16">
        <v>477.98</v>
      </c>
      <c r="I6" s="17">
        <f t="shared" si="0"/>
        <v>477.98</v>
      </c>
    </row>
    <row r="7" spans="1:9" x14ac:dyDescent="0.25">
      <c r="A7" s="38"/>
      <c r="B7" s="35"/>
      <c r="C7" s="36"/>
      <c r="D7" s="36"/>
      <c r="E7" s="37"/>
      <c r="F7" s="37"/>
      <c r="G7" s="5" t="s">
        <v>113</v>
      </c>
      <c r="H7" s="16">
        <v>519</v>
      </c>
      <c r="I7" s="17">
        <f t="shared" si="0"/>
        <v>519</v>
      </c>
    </row>
    <row r="8" spans="1:9" x14ac:dyDescent="0.25">
      <c r="A8" s="38"/>
      <c r="B8" s="35"/>
      <c r="C8" s="36"/>
      <c r="D8" s="36"/>
      <c r="E8" s="37"/>
      <c r="F8" s="37"/>
      <c r="G8" s="5" t="s">
        <v>114</v>
      </c>
      <c r="H8" s="16">
        <v>548.32000000000005</v>
      </c>
      <c r="I8" s="17">
        <f t="shared" si="0"/>
        <v>548.32000000000005</v>
      </c>
    </row>
    <row r="9" spans="1:9" x14ac:dyDescent="0.25">
      <c r="A9" s="38"/>
      <c r="B9" s="35"/>
      <c r="C9" s="36"/>
      <c r="D9" s="36"/>
      <c r="E9" s="37"/>
      <c r="F9" s="37"/>
      <c r="G9" s="5" t="s">
        <v>115</v>
      </c>
      <c r="H9" s="16">
        <v>581.26</v>
      </c>
      <c r="I9" s="17">
        <f t="shared" si="0"/>
        <v>581.26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213.58736136141874</v>
      </c>
      <c r="B20" s="8">
        <f>COUNT(H3:H17)</f>
        <v>7</v>
      </c>
      <c r="C20" s="9">
        <f>IF(B20&lt;2,"n/a",(A20/D20))</f>
        <v>0.33952336962138158</v>
      </c>
      <c r="D20" s="10">
        <f>IFERROR(ROUND(AVERAGE(H3:H17),2),"")</f>
        <v>629.08000000000004</v>
      </c>
      <c r="E20" s="15">
        <f>IFERROR(ROUND(IF(B20&lt;2,"n/a",(IF(C20&lt;=25%,"n/a",AVERAGE(I3:I17)))),2),"n/a")</f>
        <v>550.59</v>
      </c>
      <c r="F20" s="10">
        <f>IFERROR(ROUND(MEDIAN(H3:H17),2),"")</f>
        <v>548.32000000000005</v>
      </c>
      <c r="G20" s="11" t="str">
        <f>IFERROR(INDEX(G3:G17,MATCH(H20,H3:H17,0)),"")</f>
        <v>PREMIER COMERCIO</v>
      </c>
      <c r="H20" s="12">
        <f>F3</f>
        <v>477.98</v>
      </c>
    </row>
    <row r="22" spans="1:9" x14ac:dyDescent="0.25">
      <c r="G22" s="13" t="s">
        <v>20</v>
      </c>
      <c r="H22" s="14">
        <f>IF(C20&lt;=25%,D20,MIN(E20:F20))</f>
        <v>548.32000000000005</v>
      </c>
    </row>
    <row r="23" spans="1:9" x14ac:dyDescent="0.25">
      <c r="G23" s="13" t="s">
        <v>6</v>
      </c>
      <c r="H23" s="14">
        <f>ROUND(H22,2)*D3</f>
        <v>16449.600000000002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2024-02-28T15:36:48Z</dcterms:modified>
</cp:coreProperties>
</file>