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firstSheet="32" activeTab="50"/>
  </bookViews>
  <sheets>
    <sheet name="Item1" sheetId="1" r:id="rId1"/>
    <sheet name="Item2" sheetId="4" r:id="rId2"/>
    <sheet name="Item3" sheetId="5" r:id="rId3"/>
    <sheet name="Item4" sheetId="6" r:id="rId4"/>
    <sheet name="Item5" sheetId="7" r:id="rId5"/>
    <sheet name="Item6" sheetId="8" r:id="rId6"/>
    <sheet name="Item7" sheetId="9" r:id="rId7"/>
    <sheet name="Item8" sheetId="10" r:id="rId8"/>
    <sheet name="Item9" sheetId="11" r:id="rId9"/>
    <sheet name="Item10" sheetId="12" r:id="rId10"/>
    <sheet name="Item11" sheetId="13" r:id="rId11"/>
    <sheet name="Item12" sheetId="14" r:id="rId12"/>
    <sheet name="Item13" sheetId="15" r:id="rId13"/>
    <sheet name="Item14" sheetId="16" r:id="rId14"/>
    <sheet name="Item15" sheetId="17" r:id="rId15"/>
    <sheet name="Item16" sheetId="18" r:id="rId16"/>
    <sheet name="Item17" sheetId="19" r:id="rId17"/>
    <sheet name="Item18" sheetId="20" r:id="rId18"/>
    <sheet name="Item19" sheetId="21" r:id="rId19"/>
    <sheet name="Item20" sheetId="22" r:id="rId20"/>
    <sheet name="Item21" sheetId="24" r:id="rId21"/>
    <sheet name="Item22" sheetId="25" r:id="rId22"/>
    <sheet name="Item23" sheetId="26" r:id="rId23"/>
    <sheet name="Item24" sheetId="27" r:id="rId24"/>
    <sheet name="Item25" sheetId="28" r:id="rId25"/>
    <sheet name="Item26" sheetId="29" r:id="rId26"/>
    <sheet name="Item27" sheetId="30" r:id="rId27"/>
    <sheet name="Item28" sheetId="31" r:id="rId28"/>
    <sheet name="Item29" sheetId="32" r:id="rId29"/>
    <sheet name="Item30" sheetId="33" r:id="rId30"/>
    <sheet name="Item31" sheetId="34" r:id="rId31"/>
    <sheet name="Item32" sheetId="35" r:id="rId32"/>
    <sheet name="Item33" sheetId="36" r:id="rId33"/>
    <sheet name="Item34" sheetId="37" r:id="rId34"/>
    <sheet name="Item35" sheetId="38" r:id="rId35"/>
    <sheet name="Item36" sheetId="39" r:id="rId36"/>
    <sheet name="Item37" sheetId="40" r:id="rId37"/>
    <sheet name="Item38" sheetId="41" r:id="rId38"/>
    <sheet name="Item39" sheetId="42" r:id="rId39"/>
    <sheet name="Item40" sheetId="43" r:id="rId40"/>
    <sheet name="Item41" sheetId="44" r:id="rId41"/>
    <sheet name="Item42" sheetId="45" r:id="rId42"/>
    <sheet name="Item43" sheetId="46" r:id="rId43"/>
    <sheet name="Item44" sheetId="47" r:id="rId44"/>
    <sheet name="Item45" sheetId="48" r:id="rId45"/>
    <sheet name="Item46" sheetId="49" r:id="rId46"/>
    <sheet name="Item47" sheetId="50" r:id="rId47"/>
    <sheet name="Item48" sheetId="51" r:id="rId48"/>
    <sheet name="Item49" sheetId="52" r:id="rId49"/>
    <sheet name="Item50" sheetId="53" r:id="rId50"/>
    <sheet name="total" sheetId="23" r:id="rId51"/>
  </sheets>
  <definedNames>
    <definedName name="_xlnm.Print_Area" localSheetId="50">total!$A$1:$G$54</definedName>
    <definedName name="_xlnm.Print_Titles" localSheetId="50">total!$1:$2</definedName>
  </definedNames>
  <calcPr calcId="145621"/>
</workbook>
</file>

<file path=xl/calcChain.xml><?xml version="1.0" encoding="utf-8"?>
<calcChain xmlns="http://schemas.openxmlformats.org/spreadsheetml/2006/main">
  <c r="H8" i="40" l="1"/>
  <c r="H7" i="40"/>
  <c r="H6" i="40"/>
  <c r="H5" i="40"/>
  <c r="H4" i="40"/>
  <c r="H3" i="40"/>
  <c r="C46" i="23"/>
  <c r="D46" i="23"/>
  <c r="E46" i="23"/>
  <c r="C47" i="23"/>
  <c r="D47" i="23"/>
  <c r="E47" i="23"/>
  <c r="C48" i="23"/>
  <c r="D48" i="23"/>
  <c r="E48" i="23"/>
  <c r="C49" i="23"/>
  <c r="D49" i="23"/>
  <c r="E49" i="23"/>
  <c r="C50" i="23"/>
  <c r="D50" i="23"/>
  <c r="E50" i="23"/>
  <c r="C51" i="23"/>
  <c r="D51" i="23"/>
  <c r="E51" i="23"/>
  <c r="C52" i="23"/>
  <c r="D52" i="23"/>
  <c r="E52" i="23"/>
  <c r="C45" i="23"/>
  <c r="D45" i="23"/>
  <c r="E45" i="23"/>
  <c r="C44" i="23"/>
  <c r="D44" i="23"/>
  <c r="E44" i="23"/>
  <c r="B52" i="23"/>
  <c r="B51" i="23"/>
  <c r="B50" i="23"/>
  <c r="B49" i="23"/>
  <c r="B48" i="23"/>
  <c r="B47" i="23"/>
  <c r="B46" i="23"/>
  <c r="B45" i="23"/>
  <c r="B44" i="23"/>
  <c r="F20" i="53"/>
  <c r="D20" i="53"/>
  <c r="B20" i="53"/>
  <c r="I17" i="53"/>
  <c r="I16" i="53"/>
  <c r="I15" i="53"/>
  <c r="I14" i="53"/>
  <c r="F3" i="53"/>
  <c r="H20" i="53" s="1"/>
  <c r="G20" i="53" s="1"/>
  <c r="F20" i="52"/>
  <c r="D20" i="52"/>
  <c r="B20" i="52"/>
  <c r="A20" i="52" s="1"/>
  <c r="I17" i="52"/>
  <c r="I16" i="52"/>
  <c r="I15" i="52"/>
  <c r="I14" i="52"/>
  <c r="I13" i="52"/>
  <c r="I12" i="52"/>
  <c r="I11" i="52"/>
  <c r="I10" i="52"/>
  <c r="F3" i="52"/>
  <c r="H20" i="52" s="1"/>
  <c r="G20" i="52" s="1"/>
  <c r="F20" i="51"/>
  <c r="D20" i="51"/>
  <c r="B20" i="51"/>
  <c r="A20" i="51"/>
  <c r="C20" i="51" s="1"/>
  <c r="I17" i="51"/>
  <c r="I16" i="51"/>
  <c r="I15" i="51"/>
  <c r="I14" i="51"/>
  <c r="I13" i="51"/>
  <c r="F3" i="51"/>
  <c r="H20" i="51" s="1"/>
  <c r="G20" i="51" s="1"/>
  <c r="F20" i="50"/>
  <c r="D20" i="50"/>
  <c r="B20" i="50"/>
  <c r="A20" i="50" s="1"/>
  <c r="C20" i="50" s="1"/>
  <c r="I17" i="50"/>
  <c r="I16" i="50"/>
  <c r="I15" i="50"/>
  <c r="I14" i="50"/>
  <c r="I13" i="50"/>
  <c r="I12" i="50"/>
  <c r="I11" i="50"/>
  <c r="I10" i="50"/>
  <c r="I9" i="50"/>
  <c r="I8" i="50"/>
  <c r="I7" i="50"/>
  <c r="F3" i="50"/>
  <c r="H20" i="50" s="1"/>
  <c r="G20" i="50" s="1"/>
  <c r="F20" i="49"/>
  <c r="D20" i="49"/>
  <c r="B20" i="49"/>
  <c r="A20" i="49" s="1"/>
  <c r="C20" i="49" s="1"/>
  <c r="I16" i="49" s="1"/>
  <c r="I17" i="49"/>
  <c r="I12" i="49"/>
  <c r="I11" i="49"/>
  <c r="F3" i="49"/>
  <c r="H20" i="49" s="1"/>
  <c r="G20" i="49" s="1"/>
  <c r="F20" i="48"/>
  <c r="D20" i="48"/>
  <c r="B20" i="48"/>
  <c r="A20" i="48" s="1"/>
  <c r="C20" i="48" s="1"/>
  <c r="I17" i="48"/>
  <c r="F3" i="48"/>
  <c r="H20" i="48" s="1"/>
  <c r="G20" i="48" s="1"/>
  <c r="F20" i="47"/>
  <c r="D20" i="47"/>
  <c r="B20" i="47"/>
  <c r="A20" i="47" s="1"/>
  <c r="C20" i="47" s="1"/>
  <c r="I17" i="47"/>
  <c r="I16" i="47"/>
  <c r="I15" i="47"/>
  <c r="F3" i="47"/>
  <c r="H20" i="47" s="1"/>
  <c r="G20" i="47" s="1"/>
  <c r="F20" i="46"/>
  <c r="D20" i="46"/>
  <c r="B20" i="46"/>
  <c r="A20" i="46" s="1"/>
  <c r="C20" i="46" s="1"/>
  <c r="I17" i="46"/>
  <c r="I16" i="46"/>
  <c r="I15" i="46"/>
  <c r="I14" i="46"/>
  <c r="I13" i="46"/>
  <c r="I12" i="46"/>
  <c r="I11" i="46"/>
  <c r="F3" i="46"/>
  <c r="H20" i="46" s="1"/>
  <c r="G20" i="46" s="1"/>
  <c r="F20" i="45"/>
  <c r="D20" i="45"/>
  <c r="B20" i="45"/>
  <c r="I17" i="45"/>
  <c r="I16" i="45"/>
  <c r="I15" i="45"/>
  <c r="F3" i="45"/>
  <c r="H20" i="45" s="1"/>
  <c r="G20" i="45" s="1"/>
  <c r="C20" i="52" l="1"/>
  <c r="I6" i="52" s="1"/>
  <c r="I7" i="49"/>
  <c r="I13" i="49"/>
  <c r="I8" i="49"/>
  <c r="I14" i="49"/>
  <c r="I9" i="49"/>
  <c r="I15" i="49"/>
  <c r="I10" i="49"/>
  <c r="I6" i="46"/>
  <c r="I5" i="46"/>
  <c r="I10" i="46"/>
  <c r="I4" i="46"/>
  <c r="I8" i="46"/>
  <c r="I9" i="46"/>
  <c r="I3" i="46"/>
  <c r="I7" i="46"/>
  <c r="I4" i="52"/>
  <c r="I8" i="52"/>
  <c r="I9" i="52"/>
  <c r="I3" i="52"/>
  <c r="I9" i="51"/>
  <c r="I3" i="51"/>
  <c r="I8" i="51"/>
  <c r="I7" i="51"/>
  <c r="I11" i="51"/>
  <c r="I5" i="51"/>
  <c r="I12" i="51"/>
  <c r="I6" i="51"/>
  <c r="I10" i="51"/>
  <c r="I4" i="51"/>
  <c r="I9" i="47"/>
  <c r="I3" i="47"/>
  <c r="E20" i="47" s="1"/>
  <c r="I14" i="47"/>
  <c r="I8" i="47"/>
  <c r="I5" i="47"/>
  <c r="I13" i="47"/>
  <c r="I7" i="47"/>
  <c r="I11" i="47"/>
  <c r="I12" i="47"/>
  <c r="I6" i="47"/>
  <c r="I10" i="47"/>
  <c r="I4" i="47"/>
  <c r="I12" i="48"/>
  <c r="I6" i="48"/>
  <c r="I11" i="48"/>
  <c r="I5" i="48"/>
  <c r="I8" i="48"/>
  <c r="I16" i="48"/>
  <c r="I10" i="48"/>
  <c r="I4" i="48"/>
  <c r="I15" i="48"/>
  <c r="I9" i="48"/>
  <c r="I3" i="48"/>
  <c r="I14" i="48"/>
  <c r="I13" i="48"/>
  <c r="I7" i="48"/>
  <c r="I6" i="50"/>
  <c r="I5" i="50"/>
  <c r="I4" i="50"/>
  <c r="I3" i="50"/>
  <c r="I3" i="49"/>
  <c r="E20" i="49" s="1"/>
  <c r="I6" i="49"/>
  <c r="I5" i="49"/>
  <c r="I4" i="49"/>
  <c r="A20" i="45"/>
  <c r="C20" i="45" s="1"/>
  <c r="A20" i="53"/>
  <c r="C20" i="53" s="1"/>
  <c r="C32" i="23"/>
  <c r="D32" i="23"/>
  <c r="E32" i="23"/>
  <c r="C33" i="23"/>
  <c r="D33" i="23"/>
  <c r="E33" i="23"/>
  <c r="C34" i="23"/>
  <c r="D34" i="23"/>
  <c r="E34" i="23"/>
  <c r="C35" i="23"/>
  <c r="D35" i="23"/>
  <c r="E35" i="23"/>
  <c r="C36" i="23"/>
  <c r="D36" i="23"/>
  <c r="E36" i="23"/>
  <c r="C37" i="23"/>
  <c r="D37" i="23"/>
  <c r="E37" i="23"/>
  <c r="C38" i="23"/>
  <c r="D38" i="23"/>
  <c r="E38" i="23"/>
  <c r="C39" i="23"/>
  <c r="D39" i="23"/>
  <c r="E39" i="23"/>
  <c r="C40" i="23"/>
  <c r="D40" i="23"/>
  <c r="E40" i="23"/>
  <c r="C41" i="23"/>
  <c r="D41" i="23"/>
  <c r="E41" i="23"/>
  <c r="C42" i="23"/>
  <c r="D42" i="23"/>
  <c r="E42" i="23"/>
  <c r="C43" i="23"/>
  <c r="D43" i="23"/>
  <c r="E43" i="23"/>
  <c r="B43" i="23"/>
  <c r="B42" i="23"/>
  <c r="B41" i="23"/>
  <c r="B40" i="23"/>
  <c r="B39" i="23"/>
  <c r="B38" i="23"/>
  <c r="B37" i="23"/>
  <c r="B36" i="23"/>
  <c r="B35" i="23"/>
  <c r="B34" i="23"/>
  <c r="B33" i="23"/>
  <c r="B32" i="23"/>
  <c r="C31" i="23"/>
  <c r="D31" i="23"/>
  <c r="E31" i="23"/>
  <c r="E30" i="23"/>
  <c r="D30" i="23"/>
  <c r="C30" i="23"/>
  <c r="B31" i="23"/>
  <c r="B30" i="23"/>
  <c r="F20" i="44"/>
  <c r="D20" i="44"/>
  <c r="B20" i="44"/>
  <c r="I17" i="44"/>
  <c r="I16" i="44"/>
  <c r="I15" i="44"/>
  <c r="I14" i="44"/>
  <c r="I13" i="44"/>
  <c r="I12" i="44"/>
  <c r="F3" i="44"/>
  <c r="H20" i="44" s="1"/>
  <c r="G20" i="44" s="1"/>
  <c r="F20" i="43"/>
  <c r="D20" i="43"/>
  <c r="B20" i="43"/>
  <c r="A20" i="43" s="1"/>
  <c r="I17" i="43"/>
  <c r="I16" i="43"/>
  <c r="I15" i="43"/>
  <c r="F3" i="43"/>
  <c r="H20" i="43" s="1"/>
  <c r="G20" i="43" s="1"/>
  <c r="F20" i="42"/>
  <c r="D20" i="42"/>
  <c r="B20" i="42"/>
  <c r="A20" i="42" s="1"/>
  <c r="C20" i="42" s="1"/>
  <c r="I7" i="42" s="1"/>
  <c r="I17" i="42"/>
  <c r="I16" i="42"/>
  <c r="I15" i="42"/>
  <c r="I14" i="42"/>
  <c r="I13" i="42"/>
  <c r="I12" i="42"/>
  <c r="I11" i="42"/>
  <c r="I10" i="42"/>
  <c r="I9" i="42"/>
  <c r="I8" i="42"/>
  <c r="F3" i="42"/>
  <c r="H20" i="42" s="1"/>
  <c r="G20" i="42" s="1"/>
  <c r="F20" i="41"/>
  <c r="D20" i="41"/>
  <c r="B20" i="41"/>
  <c r="I17" i="41"/>
  <c r="I16" i="41"/>
  <c r="I15" i="41"/>
  <c r="I14" i="41"/>
  <c r="I13" i="41"/>
  <c r="I12" i="41"/>
  <c r="I11" i="41"/>
  <c r="F3" i="41"/>
  <c r="H20" i="41" s="1"/>
  <c r="G20" i="41" s="1"/>
  <c r="F20" i="40"/>
  <c r="D20" i="40"/>
  <c r="B20" i="40"/>
  <c r="A20" i="40" s="1"/>
  <c r="I17" i="40"/>
  <c r="I16" i="40"/>
  <c r="I15" i="40"/>
  <c r="I14" i="40"/>
  <c r="I13" i="40"/>
  <c r="I12" i="40"/>
  <c r="I11" i="40"/>
  <c r="F3" i="40"/>
  <c r="H20" i="40" s="1"/>
  <c r="G20" i="40" s="1"/>
  <c r="F20" i="39"/>
  <c r="D20" i="39"/>
  <c r="B20" i="39"/>
  <c r="A20" i="39"/>
  <c r="I17" i="39"/>
  <c r="I16" i="39"/>
  <c r="I15" i="39"/>
  <c r="I14" i="39"/>
  <c r="I13" i="39"/>
  <c r="I12" i="39"/>
  <c r="I11" i="39"/>
  <c r="I10" i="39"/>
  <c r="F3" i="39"/>
  <c r="H20" i="39" s="1"/>
  <c r="G20" i="39" s="1"/>
  <c r="F20" i="38"/>
  <c r="D20" i="38"/>
  <c r="B20" i="38"/>
  <c r="A20" i="38" s="1"/>
  <c r="I17" i="38"/>
  <c r="I16" i="38"/>
  <c r="I15" i="38"/>
  <c r="I14" i="38"/>
  <c r="F3" i="38"/>
  <c r="H20" i="38" s="1"/>
  <c r="G20" i="38" s="1"/>
  <c r="F20" i="37"/>
  <c r="D20" i="37"/>
  <c r="B20" i="37"/>
  <c r="A20" i="37"/>
  <c r="I17" i="37"/>
  <c r="I16" i="37"/>
  <c r="I15" i="37"/>
  <c r="I14" i="37"/>
  <c r="I13" i="37"/>
  <c r="I12" i="37"/>
  <c r="I11" i="37"/>
  <c r="I10" i="37"/>
  <c r="I9" i="37"/>
  <c r="I8" i="37"/>
  <c r="I7" i="37"/>
  <c r="F3" i="37"/>
  <c r="H20" i="37" s="1"/>
  <c r="G20" i="37" s="1"/>
  <c r="F20" i="36"/>
  <c r="D20" i="36"/>
  <c r="B20" i="36"/>
  <c r="A20" i="36" s="1"/>
  <c r="C20" i="36" s="1"/>
  <c r="I17" i="36"/>
  <c r="I16" i="36"/>
  <c r="I15" i="36"/>
  <c r="I14" i="36"/>
  <c r="I13" i="36"/>
  <c r="I12" i="36"/>
  <c r="I11" i="36"/>
  <c r="I10" i="36"/>
  <c r="I9" i="36"/>
  <c r="I8" i="36"/>
  <c r="F3" i="36"/>
  <c r="H20" i="36" s="1"/>
  <c r="G20" i="36" s="1"/>
  <c r="F20" i="35"/>
  <c r="D20" i="35"/>
  <c r="B20" i="35"/>
  <c r="A20" i="35" s="1"/>
  <c r="C20" i="35" s="1"/>
  <c r="I17" i="35"/>
  <c r="I16" i="35"/>
  <c r="I15" i="35"/>
  <c r="I14" i="35"/>
  <c r="I13" i="35"/>
  <c r="I12" i="35"/>
  <c r="F3" i="35"/>
  <c r="H20" i="35" s="1"/>
  <c r="G20" i="35" s="1"/>
  <c r="F20" i="34"/>
  <c r="D20" i="34"/>
  <c r="B20" i="34"/>
  <c r="A20" i="34" s="1"/>
  <c r="C20" i="34" s="1"/>
  <c r="I13" i="34" s="1"/>
  <c r="I16" i="34"/>
  <c r="I15" i="34"/>
  <c r="F3" i="34"/>
  <c r="H20" i="34" s="1"/>
  <c r="G20" i="34" s="1"/>
  <c r="F20" i="33"/>
  <c r="D20" i="33"/>
  <c r="B20" i="33"/>
  <c r="A20" i="33" s="1"/>
  <c r="C20" i="33" s="1"/>
  <c r="I17" i="33"/>
  <c r="I16" i="33"/>
  <c r="I15" i="33"/>
  <c r="I14" i="33"/>
  <c r="I13" i="33"/>
  <c r="I12" i="33"/>
  <c r="I11" i="33"/>
  <c r="I10" i="33"/>
  <c r="F3" i="33"/>
  <c r="H20" i="33" s="1"/>
  <c r="G20" i="33" s="1"/>
  <c r="F20" i="32"/>
  <c r="D20" i="32"/>
  <c r="B20" i="32"/>
  <c r="A20" i="32" s="1"/>
  <c r="C20" i="32" s="1"/>
  <c r="I17" i="32"/>
  <c r="I16" i="32"/>
  <c r="I15" i="32"/>
  <c r="I14" i="32"/>
  <c r="I13" i="32"/>
  <c r="I12" i="32"/>
  <c r="I11" i="32"/>
  <c r="I10" i="32"/>
  <c r="I9" i="32"/>
  <c r="I8" i="32"/>
  <c r="I7" i="32"/>
  <c r="I6" i="32"/>
  <c r="F3" i="32"/>
  <c r="H20" i="32" s="1"/>
  <c r="G20" i="32" s="1"/>
  <c r="F20" i="31"/>
  <c r="D20" i="31"/>
  <c r="B20" i="31"/>
  <c r="A20" i="31" s="1"/>
  <c r="C20" i="31" s="1"/>
  <c r="I17" i="31"/>
  <c r="I16" i="31"/>
  <c r="I15" i="31"/>
  <c r="I14" i="31"/>
  <c r="I13" i="31"/>
  <c r="I12" i="31"/>
  <c r="I11" i="31"/>
  <c r="I10" i="31"/>
  <c r="F3" i="31"/>
  <c r="H20" i="31" s="1"/>
  <c r="G20" i="31" s="1"/>
  <c r="C20" i="40" l="1"/>
  <c r="I4" i="40" s="1"/>
  <c r="I5" i="52"/>
  <c r="I7" i="52"/>
  <c r="E20" i="52" s="1"/>
  <c r="E20" i="51"/>
  <c r="E3" i="51" s="1"/>
  <c r="F50" i="23" s="1"/>
  <c r="G50" i="23" s="1"/>
  <c r="E20" i="50"/>
  <c r="E20" i="48"/>
  <c r="E3" i="48" s="1"/>
  <c r="F47" i="23" s="1"/>
  <c r="G47" i="23" s="1"/>
  <c r="E20" i="46"/>
  <c r="I13" i="45"/>
  <c r="I11" i="45"/>
  <c r="I12" i="45"/>
  <c r="I10" i="45"/>
  <c r="I14" i="45"/>
  <c r="C20" i="39"/>
  <c r="C20" i="37"/>
  <c r="I6" i="37" s="1"/>
  <c r="I11" i="34"/>
  <c r="I17" i="34"/>
  <c r="I12" i="34"/>
  <c r="I14" i="34"/>
  <c r="C20" i="43"/>
  <c r="I5" i="43" s="1"/>
  <c r="C20" i="38"/>
  <c r="A20" i="41"/>
  <c r="C20" i="41" s="1"/>
  <c r="E3" i="46"/>
  <c r="F45" i="23" s="1"/>
  <c r="G45" i="23" s="1"/>
  <c r="H22" i="46"/>
  <c r="H23" i="46" s="1"/>
  <c r="H22" i="50"/>
  <c r="H23" i="50" s="1"/>
  <c r="E3" i="50"/>
  <c r="F49" i="23" s="1"/>
  <c r="G49" i="23" s="1"/>
  <c r="H22" i="47"/>
  <c r="H23" i="47" s="1"/>
  <c r="E3" i="47"/>
  <c r="F46" i="23" s="1"/>
  <c r="G46" i="23" s="1"/>
  <c r="H22" i="49"/>
  <c r="H23" i="49" s="1"/>
  <c r="E3" i="49"/>
  <c r="F48" i="23" s="1"/>
  <c r="G48" i="23" s="1"/>
  <c r="I8" i="45"/>
  <c r="I5" i="45"/>
  <c r="I7" i="45"/>
  <c r="I6" i="45"/>
  <c r="I4" i="45"/>
  <c r="E20" i="45" s="1"/>
  <c r="I9" i="45"/>
  <c r="I3" i="45"/>
  <c r="H22" i="48"/>
  <c r="H23" i="48" s="1"/>
  <c r="I9" i="53"/>
  <c r="I3" i="53"/>
  <c r="I8" i="53"/>
  <c r="I13" i="53"/>
  <c r="I7" i="53"/>
  <c r="I12" i="53"/>
  <c r="I6" i="53"/>
  <c r="I11" i="53"/>
  <c r="I5" i="53"/>
  <c r="I10" i="53"/>
  <c r="I4" i="53"/>
  <c r="I6" i="33"/>
  <c r="I4" i="33"/>
  <c r="I9" i="33"/>
  <c r="I3" i="33"/>
  <c r="I8" i="33"/>
  <c r="I7" i="33"/>
  <c r="I5" i="33"/>
  <c r="E20" i="33" s="1"/>
  <c r="H22" i="33" s="1"/>
  <c r="H23" i="33" s="1"/>
  <c r="I9" i="40"/>
  <c r="I10" i="40"/>
  <c r="I6" i="35"/>
  <c r="I5" i="35"/>
  <c r="I10" i="35"/>
  <c r="I4" i="35"/>
  <c r="I9" i="35"/>
  <c r="I3" i="35"/>
  <c r="E20" i="35" s="1"/>
  <c r="I8" i="35"/>
  <c r="I7" i="35"/>
  <c r="I11" i="35"/>
  <c r="I9" i="34"/>
  <c r="I3" i="34"/>
  <c r="E20" i="34" s="1"/>
  <c r="I8" i="34"/>
  <c r="I7" i="34"/>
  <c r="I6" i="34"/>
  <c r="I5" i="34"/>
  <c r="I10" i="34"/>
  <c r="I4" i="34"/>
  <c r="I3" i="42"/>
  <c r="I6" i="42"/>
  <c r="I5" i="42"/>
  <c r="I4" i="42"/>
  <c r="E20" i="42" s="1"/>
  <c r="H22" i="42" s="1"/>
  <c r="H23" i="42" s="1"/>
  <c r="I4" i="31"/>
  <c r="I9" i="31"/>
  <c r="I3" i="31"/>
  <c r="I7" i="31"/>
  <c r="I6" i="31"/>
  <c r="I5" i="31"/>
  <c r="I8" i="31"/>
  <c r="I3" i="36"/>
  <c r="E20" i="36" s="1"/>
  <c r="I7" i="36"/>
  <c r="I6" i="36"/>
  <c r="I5" i="36"/>
  <c r="I4" i="36"/>
  <c r="I3" i="32"/>
  <c r="I5" i="32"/>
  <c r="I4" i="32"/>
  <c r="E20" i="32" s="1"/>
  <c r="I12" i="43"/>
  <c r="I6" i="43"/>
  <c r="I11" i="43"/>
  <c r="I10" i="43"/>
  <c r="I4" i="43"/>
  <c r="I9" i="43"/>
  <c r="I3" i="43"/>
  <c r="I14" i="43"/>
  <c r="I13" i="43"/>
  <c r="I7" i="43"/>
  <c r="I4" i="38"/>
  <c r="I10" i="38"/>
  <c r="I7" i="39"/>
  <c r="I3" i="37"/>
  <c r="I6" i="38"/>
  <c r="I12" i="38"/>
  <c r="I3" i="39"/>
  <c r="A20" i="44"/>
  <c r="C20" i="44" s="1"/>
  <c r="I4" i="37"/>
  <c r="I7" i="38"/>
  <c r="I13" i="38"/>
  <c r="I4" i="39"/>
  <c r="I5" i="37"/>
  <c r="I5" i="39"/>
  <c r="I3" i="38"/>
  <c r="I7" i="40" l="1"/>
  <c r="I5" i="40"/>
  <c r="I6" i="40"/>
  <c r="I8" i="40"/>
  <c r="I3" i="40"/>
  <c r="E20" i="53"/>
  <c r="H22" i="53" s="1"/>
  <c r="H23" i="53" s="1"/>
  <c r="H22" i="52"/>
  <c r="H23" i="52" s="1"/>
  <c r="E3" i="52"/>
  <c r="F51" i="23" s="1"/>
  <c r="G51" i="23" s="1"/>
  <c r="H22" i="51"/>
  <c r="H23" i="51" s="1"/>
  <c r="I5" i="41"/>
  <c r="I9" i="41"/>
  <c r="I8" i="41"/>
  <c r="I7" i="41"/>
  <c r="I10" i="41"/>
  <c r="I6" i="41"/>
  <c r="I3" i="41"/>
  <c r="I4" i="41"/>
  <c r="E20" i="41"/>
  <c r="H22" i="41" s="1"/>
  <c r="H23" i="41" s="1"/>
  <c r="I6" i="39"/>
  <c r="E20" i="39" s="1"/>
  <c r="I8" i="39"/>
  <c r="I9" i="39"/>
  <c r="I9" i="38"/>
  <c r="I8" i="38"/>
  <c r="I5" i="38"/>
  <c r="E20" i="38" s="1"/>
  <c r="I11" i="38"/>
  <c r="E20" i="37"/>
  <c r="H22" i="37" s="1"/>
  <c r="H23" i="37" s="1"/>
  <c r="E20" i="31"/>
  <c r="I8" i="43"/>
  <c r="E20" i="43" s="1"/>
  <c r="E3" i="45"/>
  <c r="F44" i="23" s="1"/>
  <c r="G44" i="23" s="1"/>
  <c r="H22" i="45"/>
  <c r="H23" i="45" s="1"/>
  <c r="E3" i="32"/>
  <c r="F31" i="23" s="1"/>
  <c r="G31" i="23" s="1"/>
  <c r="H22" i="32"/>
  <c r="H23" i="32" s="1"/>
  <c r="E3" i="31"/>
  <c r="F30" i="23" s="1"/>
  <c r="G30" i="23" s="1"/>
  <c r="H22" i="31"/>
  <c r="H23" i="31" s="1"/>
  <c r="H22" i="35"/>
  <c r="H23" i="35" s="1"/>
  <c r="E3" i="35"/>
  <c r="F34" i="23" s="1"/>
  <c r="G34" i="23" s="1"/>
  <c r="H22" i="36"/>
  <c r="H23" i="36" s="1"/>
  <c r="E3" i="36"/>
  <c r="F35" i="23" s="1"/>
  <c r="G35" i="23" s="1"/>
  <c r="E3" i="34"/>
  <c r="F33" i="23" s="1"/>
  <c r="G33" i="23" s="1"/>
  <c r="H22" i="34"/>
  <c r="H23" i="34" s="1"/>
  <c r="I9" i="44"/>
  <c r="I3" i="44"/>
  <c r="I8" i="44"/>
  <c r="I7" i="44"/>
  <c r="I6" i="44"/>
  <c r="I11" i="44"/>
  <c r="I5" i="44"/>
  <c r="I10" i="44"/>
  <c r="I4" i="44"/>
  <c r="E3" i="33"/>
  <c r="F32" i="23" s="1"/>
  <c r="G32" i="23" s="1"/>
  <c r="E3" i="42"/>
  <c r="F41" i="23" s="1"/>
  <c r="G41" i="23" s="1"/>
  <c r="C23" i="23"/>
  <c r="D23" i="23"/>
  <c r="E23" i="23"/>
  <c r="C24" i="23"/>
  <c r="D24" i="23"/>
  <c r="E24" i="23"/>
  <c r="C25" i="23"/>
  <c r="D25" i="23"/>
  <c r="E25" i="23"/>
  <c r="C26" i="23"/>
  <c r="D26" i="23"/>
  <c r="E26" i="23"/>
  <c r="C27" i="23"/>
  <c r="D27" i="23"/>
  <c r="E27" i="23"/>
  <c r="C28" i="23"/>
  <c r="D28" i="23"/>
  <c r="E28" i="23"/>
  <c r="C29" i="23"/>
  <c r="D29" i="23"/>
  <c r="E29" i="23"/>
  <c r="B29" i="23"/>
  <c r="B28" i="23"/>
  <c r="B27" i="23"/>
  <c r="B26" i="23"/>
  <c r="B25" i="23"/>
  <c r="B24" i="23"/>
  <c r="B23" i="23"/>
  <c r="F20" i="30"/>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F3" i="26"/>
  <c r="H20" i="26" s="1"/>
  <c r="G20" i="26" s="1"/>
  <c r="F20" i="25"/>
  <c r="D20" i="25"/>
  <c r="B20" i="25"/>
  <c r="A20" i="25" s="1"/>
  <c r="F3" i="25"/>
  <c r="H20" i="25" s="1"/>
  <c r="G20" i="25" s="1"/>
  <c r="F20" i="24"/>
  <c r="D20" i="24"/>
  <c r="B20" i="24"/>
  <c r="A20" i="24" s="1"/>
  <c r="F3" i="24"/>
  <c r="H20" i="24" s="1"/>
  <c r="G20" i="24" s="1"/>
  <c r="E20" i="40" l="1"/>
  <c r="E3" i="53"/>
  <c r="F52" i="23" s="1"/>
  <c r="G52" i="23" s="1"/>
  <c r="E20" i="44"/>
  <c r="E3" i="41"/>
  <c r="F40" i="23" s="1"/>
  <c r="G40" i="23" s="1"/>
  <c r="E3" i="39"/>
  <c r="F38" i="23" s="1"/>
  <c r="G38" i="23" s="1"/>
  <c r="H22" i="39"/>
  <c r="H23" i="39" s="1"/>
  <c r="H22" i="38"/>
  <c r="H23" i="38" s="1"/>
  <c r="E3" i="38"/>
  <c r="F37" i="23" s="1"/>
  <c r="G37" i="23" s="1"/>
  <c r="E3" i="37"/>
  <c r="F36" i="23" s="1"/>
  <c r="G36" i="23" s="1"/>
  <c r="C20" i="26"/>
  <c r="H22" i="43"/>
  <c r="H23" i="43" s="1"/>
  <c r="E3" i="43"/>
  <c r="F42" i="23" s="1"/>
  <c r="G42" i="23" s="1"/>
  <c r="H22" i="44"/>
  <c r="H23" i="44" s="1"/>
  <c r="E3" i="44"/>
  <c r="F43" i="23" s="1"/>
  <c r="G43" i="23" s="1"/>
  <c r="C20" i="24"/>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56" i="23"/>
  <c r="C4" i="23"/>
  <c r="D4" i="23"/>
  <c r="E4" i="23"/>
  <c r="C5" i="23"/>
  <c r="D5" i="23"/>
  <c r="E5" i="23"/>
  <c r="C6" i="23"/>
  <c r="D6" i="23"/>
  <c r="E6" i="23"/>
  <c r="C7" i="23"/>
  <c r="D7" i="23"/>
  <c r="E7" i="23"/>
  <c r="C8" i="23"/>
  <c r="D8" i="23"/>
  <c r="E8" i="23"/>
  <c r="C9" i="23"/>
  <c r="D9" i="23"/>
  <c r="E9" i="23"/>
  <c r="C10" i="23"/>
  <c r="D10" i="23"/>
  <c r="E10" i="23"/>
  <c r="C11" i="23"/>
  <c r="D11" i="23"/>
  <c r="E11" i="23"/>
  <c r="C12" i="23"/>
  <c r="D12" i="23"/>
  <c r="E12" i="23"/>
  <c r="C13" i="23"/>
  <c r="D13" i="23"/>
  <c r="E13" i="23"/>
  <c r="C14" i="23"/>
  <c r="D14" i="23"/>
  <c r="E14" i="23"/>
  <c r="C15" i="23"/>
  <c r="D15" i="23"/>
  <c r="E15" i="23"/>
  <c r="C16" i="23"/>
  <c r="D16" i="23"/>
  <c r="E16" i="23"/>
  <c r="C17" i="23"/>
  <c r="D17" i="23"/>
  <c r="E17" i="23"/>
  <c r="C18" i="23"/>
  <c r="D18" i="23"/>
  <c r="E18" i="23"/>
  <c r="C19" i="23"/>
  <c r="D19" i="23"/>
  <c r="E19" i="23"/>
  <c r="C20" i="23"/>
  <c r="D20" i="23"/>
  <c r="E20" i="23"/>
  <c r="C21" i="23"/>
  <c r="D21" i="23"/>
  <c r="E21" i="23"/>
  <c r="C22" i="23"/>
  <c r="D22" i="23"/>
  <c r="E22" i="23"/>
  <c r="B22" i="23"/>
  <c r="B21" i="23"/>
  <c r="B20" i="23"/>
  <c r="B19" i="23"/>
  <c r="B18" i="23"/>
  <c r="B17" i="23"/>
  <c r="B16" i="23"/>
  <c r="B15" i="23"/>
  <c r="B14" i="23"/>
  <c r="B13" i="23"/>
  <c r="B12" i="23"/>
  <c r="B11" i="23"/>
  <c r="B10" i="23"/>
  <c r="B9" i="23"/>
  <c r="B8" i="23"/>
  <c r="B7" i="23"/>
  <c r="B6" i="23"/>
  <c r="B5"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F3" i="9"/>
  <c r="H20" i="9" s="1"/>
  <c r="G20" i="9" s="1"/>
  <c r="F20" i="8"/>
  <c r="D20" i="8"/>
  <c r="B20" i="8"/>
  <c r="F3" i="8"/>
  <c r="H20" i="8" s="1"/>
  <c r="G20" i="8" s="1"/>
  <c r="F20" i="7"/>
  <c r="D20" i="7"/>
  <c r="B20" i="7"/>
  <c r="F3" i="7"/>
  <c r="H20" i="7" s="1"/>
  <c r="G20" i="7" s="1"/>
  <c r="F20" i="6"/>
  <c r="D20" i="6"/>
  <c r="B20" i="6"/>
  <c r="A20" i="6" s="1"/>
  <c r="F3" i="6"/>
  <c r="H20" i="6" s="1"/>
  <c r="G20" i="6" s="1"/>
  <c r="F20" i="5"/>
  <c r="D20" i="5"/>
  <c r="B20" i="5"/>
  <c r="A20" i="5" s="1"/>
  <c r="F3" i="5"/>
  <c r="H20" i="5" s="1"/>
  <c r="G20" i="5" s="1"/>
  <c r="F20" i="4"/>
  <c r="D20" i="4"/>
  <c r="B20" i="4"/>
  <c r="F3" i="4"/>
  <c r="H20" i="4" s="1"/>
  <c r="G20" i="4" s="1"/>
  <c r="F20" i="1"/>
  <c r="D20" i="1"/>
  <c r="B20" i="1"/>
  <c r="A20" i="1" s="1"/>
  <c r="F3" i="1"/>
  <c r="H20" i="1" s="1"/>
  <c r="G20" i="1" s="1"/>
  <c r="E3" i="40" l="1"/>
  <c r="F39" i="23" s="1"/>
  <c r="G39" i="23" s="1"/>
  <c r="H22" i="40"/>
  <c r="H23" i="40" s="1"/>
  <c r="E20" i="28"/>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C20" i="6"/>
  <c r="I8" i="6" s="1"/>
  <c r="A20" i="7"/>
  <c r="C20" i="7" s="1"/>
  <c r="I16" i="7" s="1"/>
  <c r="A20" i="8"/>
  <c r="C20" i="8" s="1"/>
  <c r="I4" i="8" s="1"/>
  <c r="E3" i="28"/>
  <c r="F27" i="23" s="1"/>
  <c r="G27" i="23" s="1"/>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7" i="12"/>
  <c r="I15" i="16"/>
  <c r="I16" i="16"/>
  <c r="I14" i="16"/>
  <c r="I13" i="16"/>
  <c r="I12" i="16"/>
  <c r="I6" i="16"/>
  <c r="I17" i="16"/>
  <c r="I11" i="16"/>
  <c r="I15" i="14"/>
  <c r="I9" i="14"/>
  <c r="I3" i="14"/>
  <c r="I16" i="14"/>
  <c r="I14" i="14"/>
  <c r="I8" i="14"/>
  <c r="I10" i="14"/>
  <c r="I13" i="14"/>
  <c r="I7" i="14"/>
  <c r="I12" i="14"/>
  <c r="I6" i="14"/>
  <c r="I17" i="14"/>
  <c r="I11" i="14"/>
  <c r="I5" i="14"/>
  <c r="I4" i="14"/>
  <c r="I15" i="18"/>
  <c r="I9" i="18"/>
  <c r="I3" i="18"/>
  <c r="I14" i="18"/>
  <c r="I13" i="18"/>
  <c r="I7" i="18"/>
  <c r="I16" i="18"/>
  <c r="I12" i="18"/>
  <c r="I17" i="18"/>
  <c r="I11" i="18"/>
  <c r="C20" i="11"/>
  <c r="C20" i="13"/>
  <c r="C20" i="15"/>
  <c r="C20" i="17"/>
  <c r="I15" i="8"/>
  <c r="I14" i="8"/>
  <c r="I12" i="8"/>
  <c r="I13" i="8"/>
  <c r="I17" i="8"/>
  <c r="I16" i="8"/>
  <c r="I16" i="9"/>
  <c r="C20" i="10"/>
  <c r="I7" i="9"/>
  <c r="I13" i="9"/>
  <c r="I15" i="9"/>
  <c r="I15" i="7"/>
  <c r="I10" i="9"/>
  <c r="I17" i="7"/>
  <c r="I3" i="9"/>
  <c r="I11" i="9"/>
  <c r="I17" i="9"/>
  <c r="I6" i="9"/>
  <c r="I15" i="6"/>
  <c r="I14" i="6"/>
  <c r="I7" i="6"/>
  <c r="I17" i="6"/>
  <c r="I16" i="6"/>
  <c r="I12" i="6"/>
  <c r="I12" i="5"/>
  <c r="I17" i="5"/>
  <c r="I11" i="5"/>
  <c r="I16" i="5"/>
  <c r="I8" i="5"/>
  <c r="I13" i="5"/>
  <c r="I15" i="5"/>
  <c r="I14" i="5"/>
  <c r="A20" i="4"/>
  <c r="C20" i="4" s="1"/>
  <c r="C20" i="1"/>
  <c r="E20" i="27" l="1"/>
  <c r="I5" i="18"/>
  <c r="I10" i="18"/>
  <c r="I8" i="18"/>
  <c r="I10" i="16"/>
  <c r="I8" i="16"/>
  <c r="E20" i="14"/>
  <c r="I14" i="12"/>
  <c r="I13" i="12"/>
  <c r="I15" i="12"/>
  <c r="I16" i="12"/>
  <c r="I11" i="12"/>
  <c r="I12" i="9"/>
  <c r="I8" i="9"/>
  <c r="I5" i="9"/>
  <c r="I9" i="9"/>
  <c r="E20" i="9" s="1"/>
  <c r="H22" i="9" s="1"/>
  <c r="H23" i="9" s="1"/>
  <c r="I10" i="8"/>
  <c r="I8" i="8"/>
  <c r="I9" i="8"/>
  <c r="I7" i="8"/>
  <c r="I11" i="8"/>
  <c r="I5" i="6"/>
  <c r="I6" i="6"/>
  <c r="I3" i="6"/>
  <c r="E20" i="24"/>
  <c r="E3" i="24" s="1"/>
  <c r="F23" i="23" s="1"/>
  <c r="G23" i="23" s="1"/>
  <c r="I8" i="20"/>
  <c r="I3" i="20"/>
  <c r="I7" i="20"/>
  <c r="I6" i="20"/>
  <c r="I4" i="20"/>
  <c r="I10" i="20"/>
  <c r="I9" i="20"/>
  <c r="I4" i="18"/>
  <c r="I4" i="16"/>
  <c r="I3" i="16"/>
  <c r="I5" i="16"/>
  <c r="I7" i="16"/>
  <c r="E20" i="16" s="1"/>
  <c r="H22" i="16" s="1"/>
  <c r="H23" i="16" s="1"/>
  <c r="I10" i="12"/>
  <c r="I12" i="12"/>
  <c r="I4" i="12"/>
  <c r="I8" i="12"/>
  <c r="I6" i="12"/>
  <c r="I7" i="12"/>
  <c r="I3" i="12"/>
  <c r="I5" i="12"/>
  <c r="I6" i="8"/>
  <c r="I5" i="8"/>
  <c r="I3" i="8"/>
  <c r="I11" i="6"/>
  <c r="I9" i="6"/>
  <c r="I4" i="6"/>
  <c r="I13" i="6"/>
  <c r="I10" i="6"/>
  <c r="I3" i="5"/>
  <c r="I10" i="5"/>
  <c r="I4" i="5"/>
  <c r="I9" i="5"/>
  <c r="I7" i="5"/>
  <c r="I5" i="5"/>
  <c r="E20" i="30"/>
  <c r="E3" i="30" s="1"/>
  <c r="F29" i="23" s="1"/>
  <c r="G29" i="23" s="1"/>
  <c r="E20" i="29"/>
  <c r="H22" i="29" s="1"/>
  <c r="H23" i="29" s="1"/>
  <c r="E3" i="26"/>
  <c r="F25" i="23" s="1"/>
  <c r="G25" i="23" s="1"/>
  <c r="E20" i="25"/>
  <c r="H22" i="25" s="1"/>
  <c r="H23" i="25" s="1"/>
  <c r="I11" i="22"/>
  <c r="I12" i="22"/>
  <c r="I9" i="22"/>
  <c r="I6" i="22"/>
  <c r="I5" i="22"/>
  <c r="I8" i="22"/>
  <c r="I4" i="22"/>
  <c r="I7" i="22"/>
  <c r="E20" i="22" s="1"/>
  <c r="H22" i="22" s="1"/>
  <c r="H23" i="22" s="1"/>
  <c r="E20" i="18"/>
  <c r="H22" i="18" s="1"/>
  <c r="H23" i="18" s="1"/>
  <c r="I4" i="9"/>
  <c r="I10" i="7"/>
  <c r="I14" i="7"/>
  <c r="I8" i="7"/>
  <c r="I6" i="7"/>
  <c r="I4" i="7"/>
  <c r="I12" i="7"/>
  <c r="I9" i="7"/>
  <c r="I3" i="7"/>
  <c r="I13" i="7"/>
  <c r="I7" i="7"/>
  <c r="I5" i="7"/>
  <c r="I11" i="7"/>
  <c r="E3" i="27"/>
  <c r="F26" i="23" s="1"/>
  <c r="G26" i="23" s="1"/>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F14" i="23" s="1"/>
  <c r="G14" i="23" s="1"/>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12" l="1"/>
  <c r="E20" i="8"/>
  <c r="H22" i="8" s="1"/>
  <c r="H23" i="8" s="1"/>
  <c r="E20" i="6"/>
  <c r="H22" i="6" s="1"/>
  <c r="H23" i="6" s="1"/>
  <c r="H22" i="24"/>
  <c r="H23" i="24" s="1"/>
  <c r="E20" i="20"/>
  <c r="H22" i="20" s="1"/>
  <c r="H23" i="20" s="1"/>
  <c r="E3" i="16"/>
  <c r="F16" i="23" s="1"/>
  <c r="G16" i="23" s="1"/>
  <c r="H22" i="12"/>
  <c r="H23" i="12" s="1"/>
  <c r="E3" i="12"/>
  <c r="F12" i="23" s="1"/>
  <c r="G12" i="23" s="1"/>
  <c r="E3" i="8"/>
  <c r="F8" i="23" s="1"/>
  <c r="G8" i="23" s="1"/>
  <c r="E3" i="6"/>
  <c r="F6" i="23" s="1"/>
  <c r="G6" i="23" s="1"/>
  <c r="E20" i="5"/>
  <c r="E3" i="5" s="1"/>
  <c r="F5" i="23" s="1"/>
  <c r="G5" i="23" s="1"/>
  <c r="H22" i="30"/>
  <c r="H23" i="30" s="1"/>
  <c r="E3" i="29"/>
  <c r="F28" i="23" s="1"/>
  <c r="G28" i="23" s="1"/>
  <c r="F61" i="23" s="1"/>
  <c r="E3" i="25"/>
  <c r="F24" i="23" s="1"/>
  <c r="G24" i="23" s="1"/>
  <c r="E3" i="22"/>
  <c r="F22" i="23" s="1"/>
  <c r="G22" i="23" s="1"/>
  <c r="E20" i="21"/>
  <c r="H22" i="21" s="1"/>
  <c r="H23" i="21" s="1"/>
  <c r="E20" i="19"/>
  <c r="H22" i="19" s="1"/>
  <c r="H23" i="19" s="1"/>
  <c r="E3" i="18"/>
  <c r="F18" i="23" s="1"/>
  <c r="G18" i="23" s="1"/>
  <c r="E20" i="15"/>
  <c r="H22" i="15" s="1"/>
  <c r="H23" i="15" s="1"/>
  <c r="E20" i="13"/>
  <c r="E3" i="13" s="1"/>
  <c r="F13" i="23" s="1"/>
  <c r="G13" i="23" s="1"/>
  <c r="E20" i="11"/>
  <c r="H22" i="11" s="1"/>
  <c r="H23" i="11" s="1"/>
  <c r="E20" i="10"/>
  <c r="H22" i="10" s="1"/>
  <c r="H23" i="10" s="1"/>
  <c r="E3" i="9"/>
  <c r="F9" i="23" s="1"/>
  <c r="G9" i="23" s="1"/>
  <c r="E20" i="7"/>
  <c r="E20" i="4"/>
  <c r="E3" i="4" s="1"/>
  <c r="F4" i="23" s="1"/>
  <c r="G4" i="23" s="1"/>
  <c r="E20" i="17"/>
  <c r="E20" i="1"/>
  <c r="E3" i="20" l="1"/>
  <c r="F20" i="23" s="1"/>
  <c r="G20" i="23" s="1"/>
  <c r="E3" i="21"/>
  <c r="F21" i="23" s="1"/>
  <c r="G21" i="23" s="1"/>
  <c r="E3" i="19"/>
  <c r="F19" i="23" s="1"/>
  <c r="G19" i="23" s="1"/>
  <c r="E3" i="15"/>
  <c r="F15" i="23" s="1"/>
  <c r="G15" i="23" s="1"/>
  <c r="H22" i="13"/>
  <c r="H23" i="13" s="1"/>
  <c r="E3" i="10"/>
  <c r="F10" i="23" s="1"/>
  <c r="G10" i="23" s="1"/>
  <c r="F60" i="23" s="1"/>
  <c r="H22" i="5"/>
  <c r="H23" i="5" s="1"/>
  <c r="H22" i="4"/>
  <c r="H23" i="4" s="1"/>
  <c r="E3" i="11"/>
  <c r="F11" i="23" s="1"/>
  <c r="G11" i="23" s="1"/>
  <c r="H22" i="7"/>
  <c r="H23" i="7" s="1"/>
  <c r="E3" i="7"/>
  <c r="F7" i="23" s="1"/>
  <c r="G7" i="23" s="1"/>
  <c r="H22" i="17"/>
  <c r="H23" i="17" s="1"/>
  <c r="E3" i="17"/>
  <c r="F17" i="23" s="1"/>
  <c r="G17" i="23" s="1"/>
  <c r="E3" i="1"/>
  <c r="F3" i="23" s="1"/>
  <c r="G3" i="23" s="1"/>
  <c r="H22" i="1"/>
  <c r="H23" i="1" s="1"/>
  <c r="F59" i="23" l="1"/>
  <c r="F58" i="23"/>
  <c r="F54" i="23"/>
</calcChain>
</file>

<file path=xl/sharedStrings.xml><?xml version="1.0" encoding="utf-8"?>
<sst xmlns="http://schemas.openxmlformats.org/spreadsheetml/2006/main" count="1895" uniqueCount="344">
  <si>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</si>
  <si>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</si>
  <si>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</si>
  <si>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</si>
  <si>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</si>
  <si>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</si>
  <si>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</si>
  <si>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</si>
  <si>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</si>
  <si>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</si>
  <si>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</si>
  <si>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</si>
  <si>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</si>
  <si>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</si>
  <si>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</si>
  <si>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</si>
  <si>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</si>
  <si>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</si>
  <si>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</si>
  <si>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</si>
  <si>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</si>
  <si>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</si>
  <si>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</si>
  <si>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</si>
  <si>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</si>
  <si>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</si>
  <si>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</si>
  <si>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</si>
  <si>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</si>
  <si>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</si>
  <si>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</si>
  <si>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</si>
  <si>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</si>
  <si>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</si>
  <si>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n/a</t>
  </si>
  <si>
    <t>KABUM</t>
  </si>
  <si>
    <t>KALUNGA</t>
  </si>
  <si>
    <t>CARREFOUR</t>
  </si>
  <si>
    <t>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</si>
  <si>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caixa</t>
  </si>
  <si>
    <t>LOJA BIC</t>
  </si>
  <si>
    <t>SKYPAC</t>
  </si>
  <si>
    <t>LOJA FABER CASTEL</t>
  </si>
  <si>
    <t>PAPELARIA CASTELO</t>
  </si>
  <si>
    <t>MABEM COMÉRCIO E DISTRIBUIÇÃO</t>
  </si>
  <si>
    <t>KINGDON COMÉRCIO DE LICITAÇÕES</t>
  </si>
  <si>
    <t>MAS ESCOLAR LTDA</t>
  </si>
  <si>
    <t>RC RAMOS COMÉRCIO</t>
  </si>
  <si>
    <t>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t>
  </si>
  <si>
    <t>Etiqueta auto adesiva
Folha em formato A4;
Gramatura 75 g/m2
Papel couchê removível;
Cor branca,
Folha contendo 1 etiqueta
Acondicionadas em embalagens com 25 folhas</t>
  </si>
  <si>
    <t>AMAZON</t>
  </si>
  <si>
    <t>BELAS ARTES PRESENTES</t>
  </si>
  <si>
    <t>GIMBA</t>
  </si>
  <si>
    <t>PAPELEX</t>
  </si>
  <si>
    <t>STARTPAPER PAPELARIA</t>
  </si>
  <si>
    <t>ENCOPEL</t>
  </si>
  <si>
    <t>JR INTERMEDIAÇÕES COMERCIAIS</t>
  </si>
  <si>
    <t xml:space="preserve">Caneta marca-texto,
Corpo em material plástico,
Ponta em poliéster
Fluorescente, Cor amarela,
Traço de 5 mm, podendo variar para +/- 1mm
Acondicionado em caixas com 12 unidades. </t>
  </si>
  <si>
    <t>MM PLACE</t>
  </si>
  <si>
    <t>OLIST</t>
  </si>
  <si>
    <t>DIGITAL CONVENIÊNCIA</t>
  </si>
  <si>
    <t>MEGAIMPRESS</t>
  </si>
  <si>
    <t>TATA PAPELARIA</t>
  </si>
  <si>
    <t>LIMA COMÉRCIO MATERIAIS</t>
  </si>
  <si>
    <t>DM DOS SANTOS</t>
  </si>
  <si>
    <t>PAPELARIA MUNDO IMPORTAÇÃO</t>
  </si>
  <si>
    <t>DIFERENCIAL COMÉRCIO</t>
  </si>
  <si>
    <t xml:space="preserve">Marcador Permanente/ Pincel Atômico
Ponta chanfrada em fibra, Cor azul.
Acondicionados em caixas com 12 unidades. </t>
  </si>
  <si>
    <t>CCL DISTRIBUIDORA</t>
  </si>
  <si>
    <t>MADRA BAZAR E LIVRARIA</t>
  </si>
  <si>
    <t>PAPELARIA QUEIROZ</t>
  </si>
  <si>
    <t>TRAPPSTOCK</t>
  </si>
  <si>
    <t>PREVENTIVA INFORMÁTICA COMERCIAL</t>
  </si>
  <si>
    <t>JR INTERMEDIAÇÕES</t>
  </si>
  <si>
    <t>Tinta para carimbo
cor azul, em frasco com no mínimo 40ml.
Acondicionadas em caixas com 12 unidades</t>
  </si>
  <si>
    <t>ATACADO JANDAIA</t>
  </si>
  <si>
    <t>LOJA TOP 10</t>
  </si>
  <si>
    <t>TAVI PAPELARIA</t>
  </si>
  <si>
    <t>ALISSON DE OLIVEIRA COSTA</t>
  </si>
  <si>
    <t>MB UTILIDADES LTDA</t>
  </si>
  <si>
    <t>TEIXEIRA DE ARRUDA LTDA</t>
  </si>
  <si>
    <t>VTA MACHADO DE ARRUDA</t>
  </si>
  <si>
    <t>Almofada para carimbo
Dimensões mínimas: 5,0 x 9,0cm
Material plástico e esponja absorvente revestida em tecido
Tipo entintada, Cor Azul</t>
  </si>
  <si>
    <t>OCEANO B2B</t>
  </si>
  <si>
    <t>SUPRIMAX COMERCIAL</t>
  </si>
  <si>
    <t>COMERCIAL PROMOSTORE CONFECCOES LTDA</t>
  </si>
  <si>
    <t>SUPRY OFFICE DISTRIBUIDORA</t>
  </si>
  <si>
    <t>P. L. FADEL INFORMATICA</t>
  </si>
  <si>
    <t>Grampeador para grampo 26/6,
Comprimento mínimo: 16 cm,
Em metal pintado
Capacidade para grampear simultaneamente, no mínimo, 25 folhas de 75g/m2 cada.
Acondicionados em caixa individual</t>
  </si>
  <si>
    <t>MUNDOWARE</t>
  </si>
  <si>
    <t>CASTRO NAVES</t>
  </si>
  <si>
    <t>MMPLACE</t>
  </si>
  <si>
    <t xml:space="preserve">MULTILASER </t>
  </si>
  <si>
    <t>GRAMPLINE</t>
  </si>
  <si>
    <t>PAPELARIA AQUARELA</t>
  </si>
  <si>
    <t>LIMA COMPÉRCIO MATERIAIS</t>
  </si>
  <si>
    <t>Grampo para grampeador 26/6
Em aço;
Tratamento superficial: niquelado
Caixa com 1.000 unidades
Acondicionados em embalagens com até 50 caixas</t>
  </si>
  <si>
    <t>LOJA TILIBRA</t>
  </si>
  <si>
    <t>OBRA &amp; LAR</t>
  </si>
  <si>
    <t>05.194.705/0001-00 PE 09/2023 COL M BELÉM</t>
  </si>
  <si>
    <t>48.471.301/0001-20 PE 09/2023 COL M BELÉM</t>
  </si>
  <si>
    <t>15.078.596/0001-10 PE 09/2023 COL M BELÉM</t>
  </si>
  <si>
    <t>31.810.100/0001-07 PE 09/2023 COL M BELÉM</t>
  </si>
  <si>
    <t xml:space="preserve">Perfurador para papel Em metal pintado 2 furos redondos Com mastigador Base em PVC Capacidade: 30 folhas de 75g/m² Acondicionados em embalagens com até 50 unidades. </t>
  </si>
  <si>
    <t>R&amp;L COMERCIAL LTDA</t>
  </si>
  <si>
    <t>LRF DISTRIBUIDORA LTDA</t>
  </si>
  <si>
    <t>KINGDON LICITAÇÃO</t>
  </si>
  <si>
    <t>SOLUÇÃO EM NEGOCIOS</t>
  </si>
  <si>
    <t>JANINE RAMOS DA SILVA</t>
  </si>
  <si>
    <t>RE RAMOS COMERCIO</t>
  </si>
  <si>
    <t>MILLENIUM LICITAÇÕES</t>
  </si>
  <si>
    <t>DOAC COMÉRCIO &amp; SERVIÇOS</t>
  </si>
  <si>
    <t>RAQUEL GOMES DE LIMA</t>
  </si>
  <si>
    <t>LIMA COMÉRCIO DE MATERIAIS</t>
  </si>
  <si>
    <t>BELINK &amp; SOUZA LTDA</t>
  </si>
  <si>
    <t>RC BARROSO DA SILVA</t>
  </si>
  <si>
    <t>Extrator de grampos
Para grampos 26/6
Cromado 
Tipo Alavanca
Comprimento mínimo: 150mm
Acondicionados em embalagens com até 50un.</t>
  </si>
  <si>
    <t>PORT INFO</t>
  </si>
  <si>
    <t>LOJAS MEL</t>
  </si>
  <si>
    <t>SANTA ROSA PAPER</t>
  </si>
  <si>
    <t>DAIANE DOS SANTOS MARTINS</t>
  </si>
  <si>
    <t>COMERCIAL CAETANO VIEIRA</t>
  </si>
  <si>
    <t>BELINKI &amp; SOUZA LTDA</t>
  </si>
  <si>
    <t>NOVA ALAGOAS SUPRIMENTOS</t>
  </si>
  <si>
    <t>COMERCIAL MARANBAIA</t>
  </si>
  <si>
    <t xml:space="preserve">Régua escritório transparente
Comprimento: 15cm
Graduação: centímetros/milímetros
Em embalagens com até 100 unidades </t>
  </si>
  <si>
    <t>MANDERS INFORMÁTICA E PAPELARIA</t>
  </si>
  <si>
    <t>GABY EVENTOS</t>
  </si>
  <si>
    <t>LC COMERCIO EMBALAGENS</t>
  </si>
  <si>
    <t>COMERCIAL PROMOSTORE</t>
  </si>
  <si>
    <t>WEBCONTINENTAL</t>
  </si>
  <si>
    <t>DOKASSA DISTRIBUIDORA</t>
  </si>
  <si>
    <t>UTILIDADES CLINICAS</t>
  </si>
  <si>
    <t xml:space="preserve">Tesoura
Em aço inoxidável
Cabo em polipropileno, na cor preta
Comprimento: 20cm, admitida variação de ± 1,5 cm
Embaladas individualmente.
Acondicionadas em caixas com até 50 unidades. </t>
  </si>
  <si>
    <t>LOJA TRAMONTINA</t>
  </si>
  <si>
    <t>DUOLIMP COMERCIO LTDA</t>
  </si>
  <si>
    <t>MBEM COMÉRCIO E DISTRIBUIÇÃO</t>
  </si>
  <si>
    <t>FC VIANA MATERIAIS</t>
  </si>
  <si>
    <t>FLAVIA PEDERIVA FERREIRA</t>
  </si>
  <si>
    <t>GILSON LACERDA RIBEIRO</t>
  </si>
  <si>
    <t>DOAC COMÉRCIO E SERVIÇOS</t>
  </si>
  <si>
    <t>VIEIRA &amp; SANTOS</t>
  </si>
  <si>
    <t xml:space="preserve">Cinta Elástica (elástico para dinheiro)
Em látex,
Nº 18
Pacote com 100 gramas
Acondicionadas em embalagens com até 50 pacotes </t>
  </si>
  <si>
    <t>pacote</t>
  </si>
  <si>
    <t>ATACADÃO JANDAIA</t>
  </si>
  <si>
    <t xml:space="preserve">BRAZIL COLOR </t>
  </si>
  <si>
    <t xml:space="preserve">SALENAS CONFECÇÃO </t>
  </si>
  <si>
    <t>NOVIDADES CABANO COMÉRCIO</t>
  </si>
  <si>
    <t>JOSY DE ALMEIDA PAULA</t>
  </si>
  <si>
    <t xml:space="preserve">Adesivo instantâneo
À base de cianoacrilato,
Tubo com 5g.
Validade mínima de 11 meses a contar da data de
recebimento definitivo.
Acondicionados em embalagem individual </t>
  </si>
  <si>
    <t>ELÉTRICA SUZUKI</t>
  </si>
  <si>
    <t>FERPAM</t>
  </si>
  <si>
    <t>MARTINELLI</t>
  </si>
  <si>
    <t>LOJA GLUBER</t>
  </si>
  <si>
    <t>REGINA CELIA CUNHA DE SOUZA</t>
  </si>
  <si>
    <t xml:space="preserve">Cola branca,
À base de PVA
Tipo escolar; não tóxica.
Frasco com 40g
Validade mínima de 18 meses contados da data de recebimento definitivo.
Acondicionadas em caixas com até 50 unidades. </t>
  </si>
  <si>
    <t>LEONORA SHOP</t>
  </si>
  <si>
    <t>LEIZZI</t>
  </si>
  <si>
    <t>OCEANO 2B2</t>
  </si>
  <si>
    <t>AVIL TEXTIL</t>
  </si>
  <si>
    <t>LEPOK</t>
  </si>
  <si>
    <t>AMANDA CARLA DA SILVA SOARES</t>
  </si>
  <si>
    <t>COMÉRCIO DE MATERIAIS ESPORTIVOS</t>
  </si>
  <si>
    <t>Molha-dedos
Com glicerina, não tóxico e que não manche,
com CRQ do químico responsável impresso na embalagem e/ou no rótulo,
peso líquido de 12g,
validade mínima de 9 meses a contar da data do recebimento provisório.
Acondicionadas em caixas com até 10 unidades</t>
  </si>
  <si>
    <t>PAPELARIA ROVEDA</t>
  </si>
  <si>
    <t>NAGEM</t>
  </si>
  <si>
    <t>LE BISCUIT</t>
  </si>
  <si>
    <t>VIEIRA &amp; SANTOS COMÉRCIO</t>
  </si>
  <si>
    <t>WR MATERIAL ESCOLAR</t>
  </si>
  <si>
    <t xml:space="preserve">Estilete
Invólucro em plástico resistente
Lâmina retrátil em aço,
Comprimento mínimo: 18 cm
Com sistema de travamento
Encaixe por pressão
Embalados individualmente,
Acondicionados em embalagem com até 50 un. </t>
  </si>
  <si>
    <t>BAZAR DISTRIBUIDORA DE UTILIDADES</t>
  </si>
  <si>
    <t>SUPRIMAX COMERCIAL LTDA</t>
  </si>
  <si>
    <t>JR PORTELA COMÉRCIO</t>
  </si>
  <si>
    <t>ESPINDULA MÓVEIS</t>
  </si>
  <si>
    <t>GGV COMERCIAL</t>
  </si>
  <si>
    <t>ALNETTO COMERCIAL DE SERVIÇOS</t>
  </si>
  <si>
    <t>MANOS COMÉRCIO ATACADISTA</t>
  </si>
  <si>
    <t>PRAPEL COMÉRCIO DE PAPEL</t>
  </si>
  <si>
    <t>Clips nº 1
Em aço inox; Tratamento superficial: niquelado,
Caixa com 100 unidades</t>
  </si>
  <si>
    <t>CASA &amp; VIDEO</t>
  </si>
  <si>
    <t xml:space="preserve">LEPOK </t>
  </si>
  <si>
    <t>SKYPACK</t>
  </si>
  <si>
    <t>BRAVA FORTE COMERCIAL</t>
  </si>
  <si>
    <t xml:space="preserve">Clips nº 6
Em aço inox;
Tratamento superficial: niquelado,
Caixa com 50 unidades </t>
  </si>
  <si>
    <t>ENFOQUE PAPELARIA</t>
  </si>
  <si>
    <t>AMERICANAS</t>
  </si>
  <si>
    <t>ARMARINHO SÃO JOSÉ</t>
  </si>
  <si>
    <t>CASA CANTANTI</t>
  </si>
  <si>
    <t>PAPELARIA TRIBUTÁRI</t>
  </si>
  <si>
    <t>PAPELARIA ARTNOVA</t>
  </si>
  <si>
    <t>PAPELARIA BLAU</t>
  </si>
  <si>
    <t xml:space="preserve">Grampo trilho encadernador
Material plástico
Cor branca
Espelho tipo ‘garra’ ou ‘lingueta’;
Para afixação de folhas em processos
Base medindo pelo menos 115 mm x 10 mm x 3 mm,
admitidas variações de 10 % (dez por cento) para menos
Haste medindo pelo menos 310 mm no total, admitidas
variações de 10% (dez por cento) para menos
Com prendedor de nylon
Caixa ou embalagem com 50 unidades. </t>
  </si>
  <si>
    <t xml:space="preserve">BRAVA FORTE COMERCIAL </t>
  </si>
  <si>
    <t>3T COMERCIO DE MATERIAIS E SERVIÇOS</t>
  </si>
  <si>
    <t>PRISCILA HAUBER HENGEMUHLE</t>
  </si>
  <si>
    <t>J. DA SN SANTANA</t>
  </si>
  <si>
    <t>ALNETTO COMERCIAL E SERVIÇOS</t>
  </si>
  <si>
    <t xml:space="preserve">Papel alcalino no formato A4 (210x297mm),
Cor branca,
Gramatura: 75g/m2
Para impressora a laser </t>
  </si>
  <si>
    <t>resma</t>
  </si>
  <si>
    <t>BLAU PAPELARIA</t>
  </si>
  <si>
    <t>OFICINA DO BITS</t>
  </si>
  <si>
    <t>FERREIRA COSTA</t>
  </si>
  <si>
    <t>LOGIN</t>
  </si>
  <si>
    <t>LOJAS CHAMEX</t>
  </si>
  <si>
    <t>MIRÃO</t>
  </si>
  <si>
    <t>PAPELARIA AVENIDA</t>
  </si>
  <si>
    <t>COMERCIAL RADAR</t>
  </si>
  <si>
    <t>Papel alcalino no formato A3 (297 x 420mm),
Cor branca, alta alvura
Gramatura: 75g/m²</t>
  </si>
  <si>
    <t>LOJA CHAMEX</t>
  </si>
  <si>
    <t>MEDEM DELIVERY</t>
  </si>
  <si>
    <t>PAPELARIA CAPITAL</t>
  </si>
  <si>
    <t>SELL PAPER</t>
  </si>
  <si>
    <t>MULTICORES PAPELARIA</t>
  </si>
  <si>
    <t>DIGITISUL</t>
  </si>
  <si>
    <t xml:space="preserve">Porta-crachás
Em PVC Cristal
Modelo Vertical
Tamanho: 80 X 120
Espessura: 0,13mm
Com cordão
Acondicionados em embalagem com 100 unidades </t>
  </si>
  <si>
    <t>IBACEMIL</t>
  </si>
  <si>
    <t>OCEAN B2B</t>
  </si>
  <si>
    <t>PAPELARIA REAL</t>
  </si>
  <si>
    <t>MARPAX</t>
  </si>
  <si>
    <t>CENTER LOJA</t>
  </si>
  <si>
    <t>PACIFIC FLOWERS INDUSTRIA</t>
  </si>
  <si>
    <t>MANOS COMERCIO ATACADISTA</t>
  </si>
  <si>
    <t>EDUARDO RITA BEM</t>
  </si>
  <si>
    <t>ERA COMERCIO E SERVIÇOS</t>
  </si>
  <si>
    <t>JR COMÉRCIO E UTILIDADES</t>
  </si>
  <si>
    <t>ALNETO COMERCIAL</t>
  </si>
  <si>
    <t>R FIGUEIREDO DA COSTA</t>
  </si>
  <si>
    <t xml:space="preserve">Envelope pardo
Papel Kraft natural monolúcido
Dimensões: 41 x 31 cm (±1 cm)
Face externa em alta lisura
Gramatura não inferior a 80 g/m2
Com Brasão da República
Inscrição, em cor preta, conforme anexo B.
Conforme modelo disponível na Seção de Gestão de Almoxarifado do TRE-BA
Acondicionados em caixas de papelão com 250 unidades </t>
  </si>
  <si>
    <t>05.194.705/0001-00 PE 09/2023 Col Mil Belém</t>
  </si>
  <si>
    <t>37.358.317/0001-04 PE 09/2023 Col Mil Belém</t>
  </si>
  <si>
    <t>31.810.100/0001-07 PE 09/2023 Col Mil Belém</t>
  </si>
  <si>
    <t>28.743.480/0001-08 PE 09/2023 Col Mil Belém</t>
  </si>
  <si>
    <t>21.496.459/0001-06 PE 09/2023 Col Mil Belém</t>
  </si>
  <si>
    <t>15.078.596/0001-10 PE 09/2023 Col Mil Belém</t>
  </si>
  <si>
    <t>50.336.197/0001-55 PE 09/2023 Col Mil Belém</t>
  </si>
  <si>
    <t>Envelope pardo
Papel Kraft natural monolúcido
Dimensões: 28 x 20 cm (±1 cm)
Face externa em alta lisura
Gramatura não inferior a 75 g/m2
Com brasão da República
Inscrição, em cor preta, conforme anexo B. Conforme modelo disponível na Seção de Gestão de Almoxarifado do TRE-BA
Acondicionados em caixas de papelão com 250 unidades.</t>
  </si>
  <si>
    <t>29.332.481/0001-14 PE 15/2023 CRM MG</t>
  </si>
  <si>
    <t>41.400.310/0001-80 PE 15/2023 CRM MG</t>
  </si>
  <si>
    <t>21.183.741/0001-25 PE 15/2023 CRM MG</t>
  </si>
  <si>
    <t>50.477.623/0001-85 PE 15/2023 CRM MG</t>
  </si>
  <si>
    <t>31.970.414/0001-77 PE 15/2023 CRM MG</t>
  </si>
  <si>
    <t>30.899.903/0001-36 PE 15/2023 CRM MG</t>
  </si>
  <si>
    <t>03.002.566/0001-40 PE 15/2023 CRM MG</t>
  </si>
  <si>
    <t>02.587.457/0001-70 PE 15/2023 CRM MG</t>
  </si>
  <si>
    <t>46.565.602/0001-97 PE 15/2023 CRM MG</t>
  </si>
  <si>
    <t>28.419.352/0001-03 PE 15/2023 CRM MG</t>
  </si>
  <si>
    <t>47.331.953/0001-04 PE 15/2023 CRM MG</t>
  </si>
  <si>
    <t>47.156.456/0001-09 PE 15/2023 CRM MG</t>
  </si>
  <si>
    <t>46.492.859/0001-66 PE 15/2023 CRM MG</t>
  </si>
  <si>
    <t>08.804.604/0001-00 PE 15/2023 CRM MG</t>
  </si>
  <si>
    <t>Envelope branco
Papel alcalino
Dimensões: 23 x 11,5 cm (±1 cm)
Tipo correspondência
Gramatura não inferior a 90 g/m2
Com brasão da República
Inscrição, em cor preta, conforme anexo B4
Acondicionados em caixas de papelão com 1000 unidades.</t>
  </si>
  <si>
    <t>EVL COMÉRCIO IMPORTAÇÃO</t>
  </si>
  <si>
    <t>IRACI NEVES SOARES</t>
  </si>
  <si>
    <t>POLO DISTRIBUIDORA E PRESTAÇÃO</t>
  </si>
  <si>
    <t>SOLUCCI DISTRIBUIDORA DE SERVIÇO</t>
  </si>
  <si>
    <t>PACIF FLOWERS</t>
  </si>
  <si>
    <t>PAPELARIA TEIXEIRA</t>
  </si>
  <si>
    <t>EDSON ATAIDE</t>
  </si>
  <si>
    <t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t>
  </si>
  <si>
    <t>07.579.663/0001-51 - PE 001/2023 CRC GO</t>
  </si>
  <si>
    <t>47.156.456/0001-09 PE 001/2023 CRC GO</t>
  </si>
  <si>
    <t>48.991.518/0001-60 PE 001/2023 CRC GO</t>
  </si>
  <si>
    <t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t>
  </si>
  <si>
    <t>38.858.504/0001-21 PE 17/2023 TRE AM</t>
  </si>
  <si>
    <t>09.022.398/0001-31 PE 17/2023 TRE AM</t>
  </si>
  <si>
    <t>14.777.617/0001-22 PE 17/2023 TRE AM</t>
  </si>
  <si>
    <t>35.858.504/0001-21 PE 17/2023 TRE AM</t>
  </si>
  <si>
    <t>32.825.080/0001-00 PE 17/2023 TRE AM</t>
  </si>
  <si>
    <t>14.065.989/0001-26 PE 17/2023 TRE AM</t>
  </si>
  <si>
    <t>46.296.475/0001-78 PE 17/2023 TRE AM</t>
  </si>
  <si>
    <t>44.562.943/0002-64 PE 17/2023 TRE AM</t>
  </si>
  <si>
    <t>42.810.782/0001-74 PE 17/2023 TRE AM</t>
  </si>
  <si>
    <t>27.996.382/0001-01 PE 17/2023 TRE AM</t>
  </si>
  <si>
    <t>40.689.972/0001-50 PE 17/2023 TRE AM</t>
  </si>
  <si>
    <t>02.642.492/0001-44 PE 17/2023 TRE AM</t>
  </si>
  <si>
    <t>08.086.641/0001-12 PE 17/2023 TRE AM</t>
  </si>
  <si>
    <t>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t>
  </si>
  <si>
    <t>PICHAU</t>
  </si>
  <si>
    <t>CAPAS NO ATACADO</t>
  </si>
  <si>
    <t>09.022.398/0001-21 PE 17/2023 TRE AM</t>
  </si>
  <si>
    <t>37.218.379/0001-10 PE 17/2023 TRE AM</t>
  </si>
  <si>
    <t>16.851.584/0001-49 PE 17/2023 TRE AM</t>
  </si>
  <si>
    <t>50.586.457/0001-70 PE 17/2023 TRE AM</t>
  </si>
  <si>
    <t>43.063.533/0001-25 PE 17/2023 TRE AM</t>
  </si>
  <si>
    <t xml:space="preserve">Pen Drive 32GB
Dispositivo de armazenamento em memória flash com conector USB, do tipo pendrive.
Padrão USB 3.0, compatível com os padrões USB 2.0 e USB 1.1;
Capacidade de armazenamento mínimo de 32GB;
Taxas de leitura e gravação mínimas de: 70MB/s e 20MB/s;
Conector USB tipo A macho, com estrutura de proteção aos contatos do conector conforme figura 1, e profundidade mínima de 12mm conforme item A da figura 2 do modelo apresentado no Anexo B.1.
Estrutura com alça para fixação em chaveiro (não representado na figura do Anexo B.1)
Com dimensões mínimas de 12mm x 25mm (D x C), figura 2 do modelo apresentado no Anexo B.1.
Garantia mínima de 1 ano. </t>
  </si>
  <si>
    <t>VOXATRON COMERCIO DE INFORMATICA LTDA</t>
  </si>
  <si>
    <t>LAZARO BARBOSA GOMES</t>
  </si>
  <si>
    <t>52.656.563 JOVAINE PROTAZIO THURLER JUNIOR</t>
  </si>
  <si>
    <t>44.531.592 LUIZ MIGUEL SANTOS ALMEIDA</t>
  </si>
  <si>
    <t>Cabo extensor USB 2.0
Conectores USB 2.0 A macho X USB 2.0 A fêmea
Comprimento: 30 cm, no mínimo.</t>
  </si>
  <si>
    <t>JC CABOS</t>
  </si>
  <si>
    <t>99 COISAS.COM.BR</t>
  </si>
  <si>
    <t>SOLUÇÃO CABOS</t>
  </si>
  <si>
    <t>CONTIGO SOLUÇÕES GESTÃO</t>
  </si>
  <si>
    <t>GABRIELA D EALMEIDA DE SÁ</t>
  </si>
  <si>
    <t>ELTEK DISTRIBUIDORA</t>
  </si>
  <si>
    <t>CONTIGO SOLUÇÕES</t>
  </si>
  <si>
    <t>MAX QUALITY COMÉRCIO</t>
  </si>
  <si>
    <t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t>
  </si>
  <si>
    <t xml:space="preserve">12.533.412/0001-76 PE 39/2022 TRE BA </t>
  </si>
  <si>
    <t xml:space="preserve">09.674.711/0001-16 PE 39/2022 TRE BA </t>
  </si>
  <si>
    <t xml:space="preserve">13.290.044/0001-45 PE 39/2022 TRE BA </t>
  </si>
  <si>
    <t xml:space="preserve">09.675.711/0001-16 PE 39/2022 TRE BA </t>
  </si>
  <si>
    <t xml:space="preserve">Fita adesiva COM timbre
Em polipropileno;
Dimensões: 48mm x 50m – largura x comprimento; </t>
  </si>
  <si>
    <t>rolo</t>
  </si>
  <si>
    <t>24.827.291/0001-54 PE 11/2023 TRE-BA</t>
  </si>
  <si>
    <t>47.030.340/0001-29 PE 11/2023 TRE-BA</t>
  </si>
  <si>
    <t>28.076.288/0001-05 PE 11/2023 TRE-BA</t>
  </si>
  <si>
    <t>45.169.346/0001-56 PE 11/2023 TRE-BA</t>
  </si>
  <si>
    <t>23.935.375/0001-49 PE 11/2023 TRE-BA</t>
  </si>
  <si>
    <t>15.170.340/0001-38 PE 11/2023 TRE-BA</t>
  </si>
  <si>
    <t>13.372.912/0001-39 PE 11/2023 TRE-BA</t>
  </si>
  <si>
    <t>34.223.815/0001-51 PE 11/2023 TRE-BA</t>
  </si>
  <si>
    <t>33.175.850/0001-80 PE 11/2023 TRE-BA</t>
  </si>
  <si>
    <t>36.463.427/0001-73 PE 11/2023 TRE-BA</t>
  </si>
  <si>
    <t>Fita adesiva
Em polipropileno;
Dimensões: 48mm x 50m – largura x comprimento;
Incolor;
Sem impressão;
Acondicionadas em caixas com até 100 unidades.</t>
  </si>
  <si>
    <t>COFERMETA</t>
  </si>
  <si>
    <t>NEOBRASIL</t>
  </si>
  <si>
    <t>PAPELARIA MALIBU</t>
  </si>
  <si>
    <t>APPELARIA AVENIDA</t>
  </si>
  <si>
    <t>AMAR TRANSPORTES DE CARGAS</t>
  </si>
  <si>
    <t>EXLUSIVA COMÉR CIO E SERVIÇOS</t>
  </si>
  <si>
    <t>Saco Plástico
Em polipropileno;
Transparente;
Dimensão: 30 x 40 cm (largura x altura);
Espessura mínima de 6 micras;
Embalagem: pacote com 100 unidades.</t>
  </si>
  <si>
    <t>11.087.084/0001-69 PE 1/2023 UFMG</t>
  </si>
  <si>
    <t>00.944.944/0001-17 PE 1/2023 UFMG</t>
  </si>
  <si>
    <t>43.782.859/0001-02 PE 1/2023 UFMG</t>
  </si>
  <si>
    <t>21.559.804/0001-03 PE 1/2023 UFMG</t>
  </si>
  <si>
    <t>37.565.563/0001-37 PE 1/2023 UFMG</t>
  </si>
  <si>
    <t>18.929.297/0001-30 PE 1/2023 UFMG</t>
  </si>
  <si>
    <t xml:space="preserve">Pasta Arquivo com canaleta
Em plástico transparente
Com canaleta
Tamanho A4 </t>
  </si>
  <si>
    <t>03.823.145/0001-80 PE 11/2023 PRF SANTA MARIA</t>
  </si>
  <si>
    <t>33.341.536/0001-20 PE 11/2023 PRF SANTA MARIA</t>
  </si>
  <si>
    <t>05.162.027/0001-02 PE 11/2023 PRF SANTA MARIA</t>
  </si>
  <si>
    <t>ARTE BAZAR</t>
  </si>
  <si>
    <t>DAC</t>
  </si>
  <si>
    <t xml:space="preserve">Palete de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B.5 </t>
  </si>
  <si>
    <t>GUILHERME DOS SANTOS RIBEIRO</t>
  </si>
  <si>
    <t>COLUNA CENTRAL COMÉRCIO</t>
  </si>
  <si>
    <t>BELLA AGRONEGÓCIOS</t>
  </si>
  <si>
    <t>LIFE CLEAN COMÉRCIO</t>
  </si>
  <si>
    <t xml:space="preserve">Papel alcalino no formato A4 (210x297mm),
Cor branca,
Gramatura: 75g/m2,
Para impressora a laser </t>
  </si>
  <si>
    <t>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t>
  </si>
  <si>
    <t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t>
  </si>
  <si>
    <t xml:space="preserve">Envelope pardo
Papel Kraft natural monolúcido  Dimensões: 36 x 26 cm (±1 cm)
Face externa em alta lisura
Gramatura não inferior a 80 g/m2
Com brasão da República
Inscrição, em cor preta, conforme anexo B.
Conforme modelo disponível na Seção de Gestão de
Almoxarifado do TRE-BA
Acondicionados em caixas de papelão com 250 unidades.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</si>
</sst>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8">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1.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18" sqref="B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v>
      </c>
      <c r="B3" s="32" t="s">
        <v>38</v>
      </c>
      <c r="C3" s="34" t="s">
        <v>39</v>
      </c>
      <c r="D3" s="34">
        <v>1250</v>
      </c>
      <c r="E3" s="35">
        <f>IF(C20&lt;=25%,D20,MIN(E20:F20))</f>
        <v>37.53</v>
      </c>
      <c r="F3" s="35">
        <f>MIN(H3:H17)</f>
        <v>26</v>
      </c>
      <c r="G3" s="5" t="s">
        <v>40</v>
      </c>
      <c r="H3" s="16">
        <v>47.1</v>
      </c>
      <c r="I3" s="17">
        <f>IF(H3="","",(IF($C$20&lt;25%,"n/a",IF(H3&lt;=($D$20+$A$20),H3,"Descartado"))))</f>
        <v>47.1</v>
      </c>
    </row>
    <row r="4" spans="1:9" x14ac:dyDescent="0.25">
      <c r="A4" s="36"/>
      <c r="B4" s="33"/>
      <c r="C4" s="34"/>
      <c r="D4" s="34"/>
      <c r="E4" s="35"/>
      <c r="F4" s="35"/>
      <c r="G4" s="5" t="s">
        <v>36</v>
      </c>
      <c r="H4" s="16">
        <v>39.9</v>
      </c>
      <c r="I4" s="17">
        <f t="shared" ref="I4:I17" si="0">IF(H4="","",(IF($C$20&lt;25%,"n/a",IF(H4&lt;=($D$20+$A$20),H4,"Descartado"))))</f>
        <v>39.9</v>
      </c>
    </row>
    <row r="5" spans="1:9" x14ac:dyDescent="0.25">
      <c r="A5" s="36"/>
      <c r="B5" s="33"/>
      <c r="C5" s="34"/>
      <c r="D5" s="34"/>
      <c r="E5" s="35"/>
      <c r="F5" s="35"/>
      <c r="G5" s="5" t="s">
        <v>41</v>
      </c>
      <c r="H5" s="16">
        <v>54.6</v>
      </c>
      <c r="I5" s="17">
        <f t="shared" si="0"/>
        <v>54.6</v>
      </c>
    </row>
    <row r="6" spans="1:9" x14ac:dyDescent="0.25">
      <c r="A6" s="36"/>
      <c r="B6" s="33"/>
      <c r="C6" s="34"/>
      <c r="D6" s="34"/>
      <c r="E6" s="35"/>
      <c r="F6" s="35"/>
      <c r="G6" s="5" t="s">
        <v>42</v>
      </c>
      <c r="H6" s="16">
        <v>51.6</v>
      </c>
      <c r="I6" s="17">
        <f t="shared" si="0"/>
        <v>51.6</v>
      </c>
    </row>
    <row r="7" spans="1:9" x14ac:dyDescent="0.25">
      <c r="A7" s="36"/>
      <c r="B7" s="33"/>
      <c r="C7" s="34"/>
      <c r="D7" s="34"/>
      <c r="E7" s="35"/>
      <c r="F7" s="35"/>
      <c r="G7" s="5" t="s">
        <v>43</v>
      </c>
      <c r="H7" s="16">
        <v>75</v>
      </c>
      <c r="I7" s="17" t="str">
        <f t="shared" si="0"/>
        <v>Descartado</v>
      </c>
    </row>
    <row r="8" spans="1:9" x14ac:dyDescent="0.25">
      <c r="A8" s="36"/>
      <c r="B8" s="33"/>
      <c r="C8" s="34"/>
      <c r="D8" s="34"/>
      <c r="E8" s="35"/>
      <c r="F8" s="35"/>
      <c r="G8" s="5" t="s">
        <v>44</v>
      </c>
      <c r="H8" s="16">
        <v>26</v>
      </c>
      <c r="I8" s="17">
        <f t="shared" si="0"/>
        <v>26</v>
      </c>
    </row>
    <row r="9" spans="1:9" x14ac:dyDescent="0.25">
      <c r="A9" s="36"/>
      <c r="B9" s="33"/>
      <c r="C9" s="34"/>
      <c r="D9" s="34"/>
      <c r="E9" s="35"/>
      <c r="F9" s="35"/>
      <c r="G9" s="5" t="s">
        <v>45</v>
      </c>
      <c r="H9" s="16">
        <v>26</v>
      </c>
      <c r="I9" s="17">
        <f t="shared" si="0"/>
        <v>26</v>
      </c>
    </row>
    <row r="10" spans="1:9" x14ac:dyDescent="0.25">
      <c r="A10" s="36"/>
      <c r="B10" s="33"/>
      <c r="C10" s="34"/>
      <c r="D10" s="34"/>
      <c r="E10" s="35"/>
      <c r="F10" s="35"/>
      <c r="G10" s="5" t="s">
        <v>46</v>
      </c>
      <c r="H10" s="16">
        <v>27</v>
      </c>
      <c r="I10" s="17">
        <f t="shared" si="0"/>
        <v>27</v>
      </c>
    </row>
    <row r="11" spans="1:9" x14ac:dyDescent="0.25">
      <c r="A11" s="36"/>
      <c r="B11" s="33"/>
      <c r="C11" s="34"/>
      <c r="D11" s="34"/>
      <c r="E11" s="35"/>
      <c r="F11" s="35"/>
      <c r="G11" s="5" t="s">
        <v>47</v>
      </c>
      <c r="H11" s="16">
        <v>28</v>
      </c>
      <c r="I11" s="17">
        <f t="shared" si="0"/>
        <v>28</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16.964922962133112</v>
      </c>
      <c r="B20" s="8">
        <f>COUNT(H3:H17)</f>
        <v>9</v>
      </c>
      <c r="C20" s="9">
        <f>IF(B20&lt;2,"n/a",(A20/D20))</f>
        <v>0.40693027013991634</v>
      </c>
      <c r="D20" s="10">
        <f>IFERROR(ROUND(AVERAGE(H3:H17),2),"")</f>
        <v>41.69</v>
      </c>
      <c r="E20" s="15">
        <f>IFERROR(ROUND(IF(B20&lt;2,"n/a",(IF(C20&lt;=25%,"n/a",AVERAGE(I3:I17)))),2),"n/a")</f>
        <v>37.53</v>
      </c>
      <c r="F20" s="10">
        <f>IFERROR(ROUND(MEDIAN(H3:H17),2),"")</f>
        <v>39.9</v>
      </c>
      <c r="G20" s="11" t="str">
        <f>IFERROR(INDEX(G3:G17,MATCH(H20,H3:H17,0)),"")</f>
        <v>MABEM COMÉRCIO E DISTRIBUIÇÃO</v>
      </c>
      <c r="H20" s="12">
        <f>F3</f>
        <v>26</v>
      </c>
    </row>
    <row r="22" spans="1:9" x14ac:dyDescent="0.25">
      <c r="G22" s="13" t="s">
        <v>20</v>
      </c>
      <c r="H22" s="14">
        <f>IF(C20&lt;=25%,D20,MIN(E20:F20))</f>
        <v>37.53</v>
      </c>
    </row>
    <row r="23" spans="1:9" x14ac:dyDescent="0.25">
      <c r="G23" s="13" t="s">
        <v>6</v>
      </c>
      <c r="H23" s="14">
        <f>ROUND(H22,2)*D3</f>
        <v>46912.5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10</v>
      </c>
      <c r="B3" s="32" t="s">
        <v>103</v>
      </c>
      <c r="C3" s="34" t="s">
        <v>7</v>
      </c>
      <c r="D3" s="34">
        <v>800</v>
      </c>
      <c r="E3" s="35">
        <f>IF(C20&lt;=25%,D20,MIN(E20:F20))</f>
        <v>22.25</v>
      </c>
      <c r="F3" s="35">
        <f>MIN(H3:H17)</f>
        <v>11.1</v>
      </c>
      <c r="G3" s="5" t="s">
        <v>104</v>
      </c>
      <c r="H3" s="16">
        <v>11.1</v>
      </c>
      <c r="I3" s="17">
        <f>IF(H3="","",(IF($C$20&lt;25%,"n/a",IF(H3&lt;=($D$20+$A$20),H3,"Descartado"))))</f>
        <v>11.1</v>
      </c>
    </row>
    <row r="4" spans="1:9" x14ac:dyDescent="0.25">
      <c r="A4" s="36"/>
      <c r="B4" s="33"/>
      <c r="C4" s="34"/>
      <c r="D4" s="34"/>
      <c r="E4" s="35"/>
      <c r="F4" s="35"/>
      <c r="G4" s="5" t="s">
        <v>105</v>
      </c>
      <c r="H4" s="16">
        <v>11.78</v>
      </c>
      <c r="I4" s="17">
        <f t="shared" ref="I4:I17" si="0">IF(H4="","",(IF($C$20&lt;25%,"n/a",IF(H4&lt;=($D$20+$A$20),H4,"Descartado"))))</f>
        <v>11.78</v>
      </c>
    </row>
    <row r="5" spans="1:9" x14ac:dyDescent="0.25">
      <c r="A5" s="36"/>
      <c r="B5" s="33"/>
      <c r="C5" s="34"/>
      <c r="D5" s="34"/>
      <c r="E5" s="35"/>
      <c r="F5" s="35"/>
      <c r="G5" s="5" t="s">
        <v>106</v>
      </c>
      <c r="H5" s="16">
        <v>15</v>
      </c>
      <c r="I5" s="17">
        <f t="shared" si="0"/>
        <v>15</v>
      </c>
    </row>
    <row r="6" spans="1:9" x14ac:dyDescent="0.25">
      <c r="A6" s="36"/>
      <c r="B6" s="33"/>
      <c r="C6" s="34"/>
      <c r="D6" s="34"/>
      <c r="E6" s="35"/>
      <c r="F6" s="35"/>
      <c r="G6" s="5" t="s">
        <v>107</v>
      </c>
      <c r="H6" s="16">
        <v>15.17</v>
      </c>
      <c r="I6" s="17">
        <f t="shared" si="0"/>
        <v>15.17</v>
      </c>
    </row>
    <row r="7" spans="1:9" x14ac:dyDescent="0.25">
      <c r="A7" s="36"/>
      <c r="B7" s="33"/>
      <c r="C7" s="34"/>
      <c r="D7" s="34"/>
      <c r="E7" s="35"/>
      <c r="F7" s="35"/>
      <c r="G7" s="5" t="s">
        <v>108</v>
      </c>
      <c r="H7" s="16">
        <v>18.5</v>
      </c>
      <c r="I7" s="17">
        <f t="shared" si="0"/>
        <v>18.5</v>
      </c>
    </row>
    <row r="8" spans="1:9" x14ac:dyDescent="0.25">
      <c r="A8" s="36"/>
      <c r="B8" s="33"/>
      <c r="C8" s="34"/>
      <c r="D8" s="34"/>
      <c r="E8" s="35"/>
      <c r="F8" s="35"/>
      <c r="G8" s="5" t="s">
        <v>109</v>
      </c>
      <c r="H8" s="16">
        <v>19.5</v>
      </c>
      <c r="I8" s="17">
        <f t="shared" si="0"/>
        <v>19.5</v>
      </c>
    </row>
    <row r="9" spans="1:9" x14ac:dyDescent="0.25">
      <c r="A9" s="36"/>
      <c r="B9" s="33"/>
      <c r="C9" s="34"/>
      <c r="D9" s="34"/>
      <c r="E9" s="35"/>
      <c r="F9" s="35"/>
      <c r="G9" s="5" t="s">
        <v>110</v>
      </c>
      <c r="H9" s="16">
        <v>22</v>
      </c>
      <c r="I9" s="17">
        <f t="shared" si="0"/>
        <v>22</v>
      </c>
    </row>
    <row r="10" spans="1:9" x14ac:dyDescent="0.25">
      <c r="A10" s="36"/>
      <c r="B10" s="33"/>
      <c r="C10" s="34"/>
      <c r="D10" s="34"/>
      <c r="E10" s="35"/>
      <c r="F10" s="35"/>
      <c r="G10" s="5" t="s">
        <v>47</v>
      </c>
      <c r="H10" s="16">
        <v>22.5</v>
      </c>
      <c r="I10" s="17">
        <f t="shared" si="0"/>
        <v>22.5</v>
      </c>
    </row>
    <row r="11" spans="1:9" x14ac:dyDescent="0.25">
      <c r="A11" s="36"/>
      <c r="B11" s="33"/>
      <c r="C11" s="34"/>
      <c r="D11" s="34"/>
      <c r="E11" s="35"/>
      <c r="F11" s="35"/>
      <c r="G11" s="5" t="s">
        <v>111</v>
      </c>
      <c r="H11" s="16">
        <v>26.88</v>
      </c>
      <c r="I11" s="17">
        <f t="shared" si="0"/>
        <v>26.88</v>
      </c>
    </row>
    <row r="12" spans="1:9" x14ac:dyDescent="0.25">
      <c r="A12" s="36"/>
      <c r="B12" s="33"/>
      <c r="C12" s="34"/>
      <c r="D12" s="34"/>
      <c r="E12" s="35"/>
      <c r="F12" s="35"/>
      <c r="G12" s="5" t="s">
        <v>112</v>
      </c>
      <c r="H12" s="16">
        <v>26.9</v>
      </c>
      <c r="I12" s="17">
        <f t="shared" si="0"/>
        <v>26.9</v>
      </c>
    </row>
    <row r="13" spans="1:9" x14ac:dyDescent="0.25">
      <c r="A13" s="36"/>
      <c r="B13" s="33"/>
      <c r="C13" s="34"/>
      <c r="D13" s="34"/>
      <c r="E13" s="35"/>
      <c r="F13" s="35"/>
      <c r="G13" s="5" t="s">
        <v>113</v>
      </c>
      <c r="H13" s="16">
        <v>28.93</v>
      </c>
      <c r="I13" s="17">
        <f t="shared" si="0"/>
        <v>28.93</v>
      </c>
    </row>
    <row r="14" spans="1:9" x14ac:dyDescent="0.25">
      <c r="A14" s="36"/>
      <c r="B14" s="33"/>
      <c r="C14" s="34"/>
      <c r="D14" s="34"/>
      <c r="E14" s="35"/>
      <c r="F14" s="35"/>
      <c r="G14" s="5" t="s">
        <v>114</v>
      </c>
      <c r="H14" s="16">
        <v>34.9</v>
      </c>
      <c r="I14" s="17">
        <f t="shared" si="0"/>
        <v>34.9</v>
      </c>
    </row>
    <row r="15" spans="1:9" x14ac:dyDescent="0.25">
      <c r="A15" s="36"/>
      <c r="B15" s="33"/>
      <c r="C15" s="34"/>
      <c r="D15" s="34"/>
      <c r="E15" s="35"/>
      <c r="F15" s="35"/>
      <c r="G15" s="5" t="s">
        <v>66</v>
      </c>
      <c r="H15" s="16">
        <v>40</v>
      </c>
      <c r="I15" s="17">
        <f t="shared" si="0"/>
        <v>40</v>
      </c>
    </row>
    <row r="16" spans="1:9" x14ac:dyDescent="0.25">
      <c r="A16" s="36"/>
      <c r="B16" s="33"/>
      <c r="C16" s="34"/>
      <c r="D16" s="34"/>
      <c r="E16" s="35"/>
      <c r="F16" s="35"/>
      <c r="G16" s="5" t="s">
        <v>115</v>
      </c>
      <c r="H16" s="16">
        <v>126.59</v>
      </c>
      <c r="I16" s="17" t="str">
        <f t="shared" si="0"/>
        <v>Descartado</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29.050327994592532</v>
      </c>
      <c r="B20" s="8">
        <f>COUNT(H3:H17)</f>
        <v>14</v>
      </c>
      <c r="C20" s="9">
        <f>IF(B20&lt;2,"n/a",(A20/D20))</f>
        <v>0.96899025999307975</v>
      </c>
      <c r="D20" s="10">
        <f>IFERROR(ROUND(AVERAGE(H3:H17),2),"")</f>
        <v>29.98</v>
      </c>
      <c r="E20" s="15">
        <f>IFERROR(ROUND(IF(B20&lt;2,"n/a",(IF(C20&lt;=25%,"n/a",AVERAGE(I3:I17)))),2),"n/a")</f>
        <v>22.55</v>
      </c>
      <c r="F20" s="10">
        <f>IFERROR(ROUND(MEDIAN(H3:H17),2),"")</f>
        <v>22.25</v>
      </c>
      <c r="G20" s="11" t="str">
        <f>IFERROR(INDEX(G3:G17,MATCH(H20,H3:H17,0)),"")</f>
        <v>R&amp;L COMERCIAL LTDA</v>
      </c>
      <c r="H20" s="12">
        <f>F3</f>
        <v>11.1</v>
      </c>
    </row>
    <row r="22" spans="1:9" x14ac:dyDescent="0.25">
      <c r="G22" s="13" t="s">
        <v>20</v>
      </c>
      <c r="H22" s="14">
        <f>IF(C20&lt;=25%,D20,MIN(E20:F20))</f>
        <v>22.25</v>
      </c>
    </row>
    <row r="23" spans="1:9" x14ac:dyDescent="0.25">
      <c r="G23" s="13" t="s">
        <v>6</v>
      </c>
      <c r="H23" s="14">
        <f>ROUND(H22,2)*D3</f>
        <v>17800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11</v>
      </c>
      <c r="B3" s="32" t="s">
        <v>116</v>
      </c>
      <c r="C3" s="34" t="s">
        <v>7</v>
      </c>
      <c r="D3" s="34">
        <v>800</v>
      </c>
      <c r="E3" s="35">
        <f>IF(C20&lt;=25%,D20,MIN(E20:F20))</f>
        <v>1.9</v>
      </c>
      <c r="F3" s="35">
        <f>MIN(H3:H17)</f>
        <v>0.98</v>
      </c>
      <c r="G3" s="5" t="s">
        <v>117</v>
      </c>
      <c r="H3" s="16">
        <v>9.48</v>
      </c>
      <c r="I3" s="17" t="str">
        <f>IF(H3="","",(IF($C$20&lt;25%,"n/a",IF(H3&lt;=($D$20+$A$20),H3,"Descartado"))))</f>
        <v>Descartado</v>
      </c>
    </row>
    <row r="4" spans="1:9" x14ac:dyDescent="0.25">
      <c r="A4" s="36"/>
      <c r="B4" s="33"/>
      <c r="C4" s="34"/>
      <c r="D4" s="34"/>
      <c r="E4" s="35"/>
      <c r="F4" s="35"/>
      <c r="G4" s="5" t="s">
        <v>118</v>
      </c>
      <c r="H4" s="16">
        <v>7.59</v>
      </c>
      <c r="I4" s="17" t="str">
        <f t="shared" ref="I4:I17" si="0">IF(H4="","",(IF($C$20&lt;25%,"n/a",IF(H4&lt;=($D$20+$A$20),H4,"Descartado"))))</f>
        <v>Descartado</v>
      </c>
    </row>
    <row r="5" spans="1:9" x14ac:dyDescent="0.25">
      <c r="A5" s="36"/>
      <c r="B5" s="33"/>
      <c r="C5" s="34"/>
      <c r="D5" s="34"/>
      <c r="E5" s="35"/>
      <c r="F5" s="35"/>
      <c r="G5" s="5" t="s">
        <v>119</v>
      </c>
      <c r="H5" s="16">
        <v>5.8</v>
      </c>
      <c r="I5" s="17">
        <f t="shared" si="0"/>
        <v>5.8</v>
      </c>
    </row>
    <row r="6" spans="1:9" x14ac:dyDescent="0.25">
      <c r="A6" s="36"/>
      <c r="B6" s="33"/>
      <c r="C6" s="34"/>
      <c r="D6" s="34"/>
      <c r="E6" s="35"/>
      <c r="F6" s="35"/>
      <c r="G6" s="5" t="s">
        <v>56</v>
      </c>
      <c r="H6" s="16">
        <v>0.98</v>
      </c>
      <c r="I6" s="17">
        <f t="shared" si="0"/>
        <v>0.98</v>
      </c>
    </row>
    <row r="7" spans="1:9" x14ac:dyDescent="0.25">
      <c r="A7" s="36"/>
      <c r="B7" s="33"/>
      <c r="C7" s="34"/>
      <c r="D7" s="34"/>
      <c r="E7" s="35"/>
      <c r="F7" s="35"/>
      <c r="G7" s="5" t="s">
        <v>120</v>
      </c>
      <c r="H7" s="16">
        <v>1.1200000000000001</v>
      </c>
      <c r="I7" s="17">
        <f t="shared" si="0"/>
        <v>1.1200000000000001</v>
      </c>
    </row>
    <row r="8" spans="1:9" x14ac:dyDescent="0.25">
      <c r="A8" s="36"/>
      <c r="B8" s="33"/>
      <c r="C8" s="34"/>
      <c r="D8" s="34"/>
      <c r="E8" s="35"/>
      <c r="F8" s="35"/>
      <c r="G8" s="5" t="s">
        <v>121</v>
      </c>
      <c r="H8" s="16">
        <v>1.34</v>
      </c>
      <c r="I8" s="17">
        <f t="shared" si="0"/>
        <v>1.34</v>
      </c>
    </row>
    <row r="9" spans="1:9" x14ac:dyDescent="0.25">
      <c r="A9" s="36"/>
      <c r="B9" s="33"/>
      <c r="C9" s="34"/>
      <c r="D9" s="34"/>
      <c r="E9" s="35"/>
      <c r="F9" s="35"/>
      <c r="G9" s="5" t="s">
        <v>122</v>
      </c>
      <c r="H9" s="16">
        <v>1.45</v>
      </c>
      <c r="I9" s="17">
        <f t="shared" si="0"/>
        <v>1.45</v>
      </c>
    </row>
    <row r="10" spans="1:9" x14ac:dyDescent="0.25">
      <c r="A10" s="36"/>
      <c r="B10" s="33"/>
      <c r="C10" s="34"/>
      <c r="D10" s="34"/>
      <c r="E10" s="35"/>
      <c r="F10" s="35"/>
      <c r="G10" s="5" t="s">
        <v>123</v>
      </c>
      <c r="H10" s="16">
        <v>1.9</v>
      </c>
      <c r="I10" s="17">
        <f t="shared" si="0"/>
        <v>1.9</v>
      </c>
    </row>
    <row r="11" spans="1:9" x14ac:dyDescent="0.25">
      <c r="A11" s="36"/>
      <c r="B11" s="33"/>
      <c r="C11" s="34"/>
      <c r="D11" s="34"/>
      <c r="E11" s="35"/>
      <c r="F11" s="35"/>
      <c r="G11" s="5" t="s">
        <v>124</v>
      </c>
      <c r="H11" s="16">
        <v>1.95</v>
      </c>
      <c r="I11" s="17">
        <f t="shared" si="0"/>
        <v>1.95</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3.233082034907937</v>
      </c>
      <c r="B20" s="8">
        <f>COUNT(H3:H17)</f>
        <v>9</v>
      </c>
      <c r="C20" s="9">
        <f>IF(B20&lt;2,"n/a",(A20/D20))</f>
        <v>0.92110599285126415</v>
      </c>
      <c r="D20" s="10">
        <f>IFERROR(ROUND(AVERAGE(H3:H17),2),"")</f>
        <v>3.51</v>
      </c>
      <c r="E20" s="15">
        <f>IFERROR(ROUND(IF(B20&lt;2,"n/a",(IF(C20&lt;=25%,"n/a",AVERAGE(I3:I17)))),2),"n/a")</f>
        <v>2.08</v>
      </c>
      <c r="F20" s="10">
        <f>IFERROR(ROUND(MEDIAN(H3:H17),2),"")</f>
        <v>1.9</v>
      </c>
      <c r="G20" s="11" t="str">
        <f>IFERROR(INDEX(G3:G17,MATCH(H20,H3:H17,0)),"")</f>
        <v>JR INTERMEDIAÇÕES COMERCIAIS</v>
      </c>
      <c r="H20" s="12">
        <f>F3</f>
        <v>0.98</v>
      </c>
    </row>
    <row r="22" spans="1:9" x14ac:dyDescent="0.25">
      <c r="G22" s="13" t="s">
        <v>20</v>
      </c>
      <c r="H22" s="14">
        <f>IF(C20&lt;=25%,D20,MIN(E20:F20))</f>
        <v>1.9</v>
      </c>
    </row>
    <row r="23" spans="1:9" x14ac:dyDescent="0.25">
      <c r="G23" s="13" t="s">
        <v>6</v>
      </c>
      <c r="H23" s="14">
        <f>ROUND(H22,2)*D3</f>
        <v>1520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12</v>
      </c>
      <c r="B3" s="32" t="s">
        <v>125</v>
      </c>
      <c r="C3" s="34" t="s">
        <v>7</v>
      </c>
      <c r="D3" s="34">
        <v>30000</v>
      </c>
      <c r="E3" s="35">
        <f>IF(C20&lt;=25%,D20,MIN(E20:F20))</f>
        <v>1.74</v>
      </c>
      <c r="F3" s="35">
        <f>MIN(H3:H17)</f>
        <v>0.52</v>
      </c>
      <c r="G3" s="5" t="s">
        <v>36</v>
      </c>
      <c r="H3" s="16">
        <v>2.9</v>
      </c>
      <c r="I3" s="17" t="str">
        <f>IF(H3="","",(IF($C$20&lt;25%,"n/a",IF(H3&lt;=($D$20+$A$20),H3,"Descartado"))))</f>
        <v>Descartado</v>
      </c>
    </row>
    <row r="4" spans="1:9" x14ac:dyDescent="0.25">
      <c r="A4" s="36"/>
      <c r="B4" s="33"/>
      <c r="C4" s="34"/>
      <c r="D4" s="34"/>
      <c r="E4" s="35"/>
      <c r="F4" s="35"/>
      <c r="G4" s="5" t="s">
        <v>126</v>
      </c>
      <c r="H4" s="16">
        <v>0.77</v>
      </c>
      <c r="I4" s="17">
        <f t="shared" ref="I4:I17" si="0">IF(H4="","",(IF($C$20&lt;25%,"n/a",IF(H4&lt;=($D$20+$A$20),H4,"Descartado"))))</f>
        <v>0.77</v>
      </c>
    </row>
    <row r="5" spans="1:9" x14ac:dyDescent="0.25">
      <c r="A5" s="36"/>
      <c r="B5" s="33"/>
      <c r="C5" s="34"/>
      <c r="D5" s="34"/>
      <c r="E5" s="35"/>
      <c r="F5" s="35"/>
      <c r="G5" s="5" t="s">
        <v>83</v>
      </c>
      <c r="H5" s="16">
        <v>2.73</v>
      </c>
      <c r="I5" s="17">
        <f t="shared" si="0"/>
        <v>2.73</v>
      </c>
    </row>
    <row r="6" spans="1:9" x14ac:dyDescent="0.25">
      <c r="A6" s="36"/>
      <c r="B6" s="33"/>
      <c r="C6" s="34"/>
      <c r="D6" s="34"/>
      <c r="E6" s="35"/>
      <c r="F6" s="35"/>
      <c r="G6" s="5" t="s">
        <v>127</v>
      </c>
      <c r="H6" s="16">
        <v>0.52</v>
      </c>
      <c r="I6" s="17">
        <f t="shared" si="0"/>
        <v>0.52</v>
      </c>
    </row>
    <row r="7" spans="1:9" x14ac:dyDescent="0.25">
      <c r="A7" s="36"/>
      <c r="B7" s="33"/>
      <c r="C7" s="34"/>
      <c r="D7" s="34"/>
      <c r="E7" s="35"/>
      <c r="F7" s="35"/>
      <c r="G7" s="5" t="s">
        <v>128</v>
      </c>
      <c r="H7" s="16">
        <v>1.1000000000000001</v>
      </c>
      <c r="I7" s="17">
        <f t="shared" si="0"/>
        <v>1.1000000000000001</v>
      </c>
    </row>
    <row r="8" spans="1:9" x14ac:dyDescent="0.25">
      <c r="A8" s="36"/>
      <c r="B8" s="33"/>
      <c r="C8" s="34"/>
      <c r="D8" s="34"/>
      <c r="E8" s="35"/>
      <c r="F8" s="35"/>
      <c r="G8" s="5" t="s">
        <v>129</v>
      </c>
      <c r="H8" s="16">
        <v>1.8</v>
      </c>
      <c r="I8" s="17">
        <f t="shared" si="0"/>
        <v>1.8</v>
      </c>
    </row>
    <row r="9" spans="1:9" x14ac:dyDescent="0.25">
      <c r="A9" s="36"/>
      <c r="B9" s="33"/>
      <c r="C9" s="34"/>
      <c r="D9" s="34"/>
      <c r="E9" s="35"/>
      <c r="F9" s="35"/>
      <c r="G9" s="5" t="s">
        <v>130</v>
      </c>
      <c r="H9" s="16">
        <v>2.73</v>
      </c>
      <c r="I9" s="17">
        <f t="shared" si="0"/>
        <v>2.73</v>
      </c>
    </row>
    <row r="10" spans="1:9" x14ac:dyDescent="0.25">
      <c r="A10" s="36"/>
      <c r="B10" s="33"/>
      <c r="C10" s="34"/>
      <c r="D10" s="34"/>
      <c r="E10" s="35"/>
      <c r="F10" s="35"/>
      <c r="G10" s="5" t="s">
        <v>131</v>
      </c>
      <c r="H10" s="16">
        <v>2.46</v>
      </c>
      <c r="I10" s="17">
        <f t="shared" si="0"/>
        <v>2.46</v>
      </c>
    </row>
    <row r="11" spans="1:9" x14ac:dyDescent="0.25">
      <c r="A11" s="36"/>
      <c r="B11" s="33"/>
      <c r="C11" s="34"/>
      <c r="D11" s="34"/>
      <c r="E11" s="35"/>
      <c r="F11" s="35"/>
      <c r="G11" s="5" t="s">
        <v>132</v>
      </c>
      <c r="H11" s="16">
        <v>1.84</v>
      </c>
      <c r="I11" s="17">
        <f t="shared" si="0"/>
        <v>1.84</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0.90272888756505587</v>
      </c>
      <c r="B20" s="8">
        <f>COUNT(H3:H17)</f>
        <v>9</v>
      </c>
      <c r="C20" s="9">
        <f>IF(B20&lt;2,"n/a",(A20/D20))</f>
        <v>0.48274272062302448</v>
      </c>
      <c r="D20" s="10">
        <f>IFERROR(ROUND(AVERAGE(H3:H17),2),"")</f>
        <v>1.87</v>
      </c>
      <c r="E20" s="15">
        <f>IFERROR(ROUND(IF(B20&lt;2,"n/a",(IF(C20&lt;=25%,"n/a",AVERAGE(I3:I17)))),2),"n/a")</f>
        <v>1.74</v>
      </c>
      <c r="F20" s="10">
        <f>IFERROR(ROUND(MEDIAN(H3:H17),2),"")</f>
        <v>1.84</v>
      </c>
      <c r="G20" s="11" t="str">
        <f>IFERROR(INDEX(G3:G17,MATCH(H20,H3:H17,0)),"")</f>
        <v>GABY EVENTOS</v>
      </c>
      <c r="H20" s="12">
        <f>F3</f>
        <v>0.52</v>
      </c>
    </row>
    <row r="22" spans="1:9" x14ac:dyDescent="0.25">
      <c r="G22" s="13" t="s">
        <v>20</v>
      </c>
      <c r="H22" s="14">
        <f>IF(C20&lt;=25%,D20,MIN(E20:F20))</f>
        <v>1.74</v>
      </c>
    </row>
    <row r="23" spans="1:9" x14ac:dyDescent="0.25">
      <c r="G23" s="13" t="s">
        <v>6</v>
      </c>
      <c r="H23" s="14">
        <f>ROUND(H22,2)*D3</f>
        <v>52200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13</v>
      </c>
      <c r="B3" s="32" t="s">
        <v>133</v>
      </c>
      <c r="C3" s="34" t="s">
        <v>7</v>
      </c>
      <c r="D3" s="34">
        <v>800</v>
      </c>
      <c r="E3" s="35">
        <f>IF(C20&lt;=25%,D20,MIN(E20:F20))</f>
        <v>5.91</v>
      </c>
      <c r="F3" s="35">
        <f>MIN(H3:H17)</f>
        <v>3.9</v>
      </c>
      <c r="G3" s="5" t="s">
        <v>53</v>
      </c>
      <c r="H3" s="16">
        <v>5.73</v>
      </c>
      <c r="I3" s="17">
        <f>IF(H3="","",(IF($C$20&lt;25%,"n/a",IF(H3&lt;=($D$20+$A$20),H3,"Descartado"))))</f>
        <v>5.73</v>
      </c>
    </row>
    <row r="4" spans="1:9" x14ac:dyDescent="0.25">
      <c r="A4" s="36"/>
      <c r="B4" s="33"/>
      <c r="C4" s="34"/>
      <c r="D4" s="34"/>
      <c r="E4" s="35"/>
      <c r="F4" s="35"/>
      <c r="G4" s="5" t="s">
        <v>93</v>
      </c>
      <c r="H4" s="16">
        <v>15</v>
      </c>
      <c r="I4" s="17" t="str">
        <f t="shared" ref="I4:I17" si="0">IF(H4="","",(IF($C$20&lt;25%,"n/a",IF(H4&lt;=($D$20+$A$20),H4,"Descartado"))))</f>
        <v>Descartado</v>
      </c>
    </row>
    <row r="5" spans="1:9" x14ac:dyDescent="0.25">
      <c r="A5" s="36"/>
      <c r="B5" s="33"/>
      <c r="C5" s="34"/>
      <c r="D5" s="34"/>
      <c r="E5" s="35"/>
      <c r="F5" s="35"/>
      <c r="G5" s="5" t="s">
        <v>134</v>
      </c>
      <c r="H5" s="16">
        <v>19.559999999999999</v>
      </c>
      <c r="I5" s="17" t="str">
        <f t="shared" si="0"/>
        <v>Descartado</v>
      </c>
    </row>
    <row r="6" spans="1:9" x14ac:dyDescent="0.25">
      <c r="A6" s="36"/>
      <c r="B6" s="33"/>
      <c r="C6" s="34"/>
      <c r="D6" s="34"/>
      <c r="E6" s="35"/>
      <c r="F6" s="35"/>
      <c r="G6" s="5" t="s">
        <v>135</v>
      </c>
      <c r="H6" s="16">
        <v>3.9</v>
      </c>
      <c r="I6" s="17">
        <f t="shared" si="0"/>
        <v>3.9</v>
      </c>
    </row>
    <row r="7" spans="1:9" x14ac:dyDescent="0.25">
      <c r="A7" s="36"/>
      <c r="B7" s="33"/>
      <c r="C7" s="34"/>
      <c r="D7" s="34"/>
      <c r="E7" s="35"/>
      <c r="F7" s="35"/>
      <c r="G7" s="5" t="s">
        <v>106</v>
      </c>
      <c r="H7" s="16">
        <v>4.59</v>
      </c>
      <c r="I7" s="17">
        <f t="shared" si="0"/>
        <v>4.59</v>
      </c>
    </row>
    <row r="8" spans="1:9" x14ac:dyDescent="0.25">
      <c r="A8" s="36"/>
      <c r="B8" s="33"/>
      <c r="C8" s="34"/>
      <c r="D8" s="34"/>
      <c r="E8" s="35"/>
      <c r="F8" s="35"/>
      <c r="G8" s="5" t="s">
        <v>136</v>
      </c>
      <c r="H8" s="16">
        <v>4.76</v>
      </c>
      <c r="I8" s="17">
        <f t="shared" si="0"/>
        <v>4.76</v>
      </c>
    </row>
    <row r="9" spans="1:9" x14ac:dyDescent="0.25">
      <c r="A9" s="36"/>
      <c r="B9" s="33"/>
      <c r="C9" s="34"/>
      <c r="D9" s="34"/>
      <c r="E9" s="35"/>
      <c r="F9" s="35"/>
      <c r="G9" s="5" t="s">
        <v>56</v>
      </c>
      <c r="H9" s="16">
        <v>4.8</v>
      </c>
      <c r="I9" s="17">
        <f t="shared" si="0"/>
        <v>4.8</v>
      </c>
    </row>
    <row r="10" spans="1:9" x14ac:dyDescent="0.25">
      <c r="A10" s="36"/>
      <c r="B10" s="33"/>
      <c r="C10" s="34"/>
      <c r="D10" s="34"/>
      <c r="E10" s="35"/>
      <c r="F10" s="35"/>
      <c r="G10" s="5" t="s">
        <v>137</v>
      </c>
      <c r="H10" s="16">
        <v>4.95</v>
      </c>
      <c r="I10" s="17">
        <f t="shared" si="0"/>
        <v>4.95</v>
      </c>
    </row>
    <row r="11" spans="1:9" x14ac:dyDescent="0.25">
      <c r="A11" s="36"/>
      <c r="B11" s="33"/>
      <c r="C11" s="34"/>
      <c r="D11" s="34"/>
      <c r="E11" s="35"/>
      <c r="F11" s="35"/>
      <c r="G11" s="5" t="s">
        <v>138</v>
      </c>
      <c r="H11" s="16">
        <v>7.2</v>
      </c>
      <c r="I11" s="17">
        <f t="shared" si="0"/>
        <v>7.2</v>
      </c>
    </row>
    <row r="12" spans="1:9" x14ac:dyDescent="0.25">
      <c r="A12" s="36"/>
      <c r="B12" s="33"/>
      <c r="C12" s="34"/>
      <c r="D12" s="34"/>
      <c r="E12" s="35"/>
      <c r="F12" s="35"/>
      <c r="G12" s="5" t="s">
        <v>139</v>
      </c>
      <c r="H12" s="16">
        <v>8.35</v>
      </c>
      <c r="I12" s="17">
        <f t="shared" si="0"/>
        <v>8.35</v>
      </c>
    </row>
    <row r="13" spans="1:9" x14ac:dyDescent="0.25">
      <c r="A13" s="36"/>
      <c r="B13" s="33"/>
      <c r="C13" s="34"/>
      <c r="D13" s="34"/>
      <c r="E13" s="35"/>
      <c r="F13" s="35"/>
      <c r="G13" s="5" t="s">
        <v>140</v>
      </c>
      <c r="H13" s="16">
        <v>8.89</v>
      </c>
      <c r="I13" s="17">
        <f t="shared" si="0"/>
        <v>8.89</v>
      </c>
    </row>
    <row r="14" spans="1:9" x14ac:dyDescent="0.25">
      <c r="A14" s="36"/>
      <c r="B14" s="33"/>
      <c r="C14" s="34"/>
      <c r="D14" s="34"/>
      <c r="E14" s="35"/>
      <c r="F14" s="35"/>
      <c r="G14" s="5" t="s">
        <v>141</v>
      </c>
      <c r="H14" s="16">
        <v>19.16</v>
      </c>
      <c r="I14" s="17" t="str">
        <f t="shared" si="0"/>
        <v>Descartado</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5.7404642273473447</v>
      </c>
      <c r="B20" s="8">
        <f>COUNT(H3:H17)</f>
        <v>12</v>
      </c>
      <c r="C20" s="9">
        <f>IF(B20&lt;2,"n/a",(A20/D20))</f>
        <v>0.64427207938802966</v>
      </c>
      <c r="D20" s="10">
        <f>IFERROR(ROUND(AVERAGE(H3:H17),2),"")</f>
        <v>8.91</v>
      </c>
      <c r="E20" s="15">
        <f>IFERROR(ROUND(IF(B20&lt;2,"n/a",(IF(C20&lt;=25%,"n/a",AVERAGE(I3:I17)))),2),"n/a")</f>
        <v>5.91</v>
      </c>
      <c r="F20" s="10">
        <f>IFERROR(ROUND(MEDIAN(H3:H17),2),"")</f>
        <v>6.47</v>
      </c>
      <c r="G20" s="11" t="str">
        <f>IFERROR(INDEX(G3:G17,MATCH(H20,H3:H17,0)),"")</f>
        <v>DUOLIMP COMERCIO LTDA</v>
      </c>
      <c r="H20" s="12">
        <f>F3</f>
        <v>3.9</v>
      </c>
    </row>
    <row r="22" spans="1:9" x14ac:dyDescent="0.25">
      <c r="G22" s="13" t="s">
        <v>20</v>
      </c>
      <c r="H22" s="14">
        <f>IF(C20&lt;=25%,D20,MIN(E20:F20))</f>
        <v>5.91</v>
      </c>
    </row>
    <row r="23" spans="1:9" x14ac:dyDescent="0.25">
      <c r="G23" s="13" t="s">
        <v>6</v>
      </c>
      <c r="H23" s="14">
        <f>ROUND(H22,2)*D3</f>
        <v>4728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14</v>
      </c>
      <c r="B3" s="32" t="s">
        <v>142</v>
      </c>
      <c r="C3" s="34" t="s">
        <v>143</v>
      </c>
      <c r="D3" s="34">
        <v>5000</v>
      </c>
      <c r="E3" s="35">
        <f>IF(C20&lt;=25%,D20,MIN(E20:F20))</f>
        <v>3.69</v>
      </c>
      <c r="F3" s="35">
        <f>MIN(H3:H17)</f>
        <v>2.5499999999999998</v>
      </c>
      <c r="G3" s="5" t="s">
        <v>144</v>
      </c>
      <c r="H3" s="16">
        <v>5.28</v>
      </c>
      <c r="I3" s="17" t="str">
        <f>IF(H3="","",(IF($C$20&lt;25%,"n/a",IF(H3&lt;=($D$20+$A$20),H3,"Descartado"))))</f>
        <v>Descartado</v>
      </c>
    </row>
    <row r="4" spans="1:9" x14ac:dyDescent="0.25">
      <c r="A4" s="36"/>
      <c r="B4" s="33"/>
      <c r="C4" s="34"/>
      <c r="D4" s="34"/>
      <c r="E4" s="35"/>
      <c r="F4" s="35"/>
      <c r="G4" s="5" t="s">
        <v>131</v>
      </c>
      <c r="H4" s="16">
        <v>4.3</v>
      </c>
      <c r="I4" s="17">
        <f t="shared" ref="I4:I17" si="0">IF(H4="","",(IF($C$20&lt;25%,"n/a",IF(H4&lt;=($D$20+$A$20),H4,"Descartado"))))</f>
        <v>4.3</v>
      </c>
    </row>
    <row r="5" spans="1:9" x14ac:dyDescent="0.25">
      <c r="A5" s="36"/>
      <c r="B5" s="33"/>
      <c r="C5" s="34"/>
      <c r="D5" s="34"/>
      <c r="E5" s="35"/>
      <c r="F5" s="35"/>
      <c r="G5" s="5" t="s">
        <v>36</v>
      </c>
      <c r="H5" s="16">
        <v>5.5</v>
      </c>
      <c r="I5" s="17" t="str">
        <f t="shared" si="0"/>
        <v>Descartado</v>
      </c>
    </row>
    <row r="6" spans="1:9" x14ac:dyDescent="0.25">
      <c r="A6" s="36"/>
      <c r="B6" s="33"/>
      <c r="C6" s="34"/>
      <c r="D6" s="34"/>
      <c r="E6" s="35"/>
      <c r="F6" s="35"/>
      <c r="G6" s="5" t="s">
        <v>145</v>
      </c>
      <c r="H6" s="16">
        <v>5</v>
      </c>
      <c r="I6" s="17">
        <f t="shared" si="0"/>
        <v>5</v>
      </c>
    </row>
    <row r="7" spans="1:9" x14ac:dyDescent="0.25">
      <c r="A7" s="36"/>
      <c r="B7" s="33"/>
      <c r="C7" s="34"/>
      <c r="D7" s="34"/>
      <c r="E7" s="35"/>
      <c r="F7" s="35"/>
      <c r="G7" s="5" t="s">
        <v>146</v>
      </c>
      <c r="H7" s="16">
        <v>2.5499999999999998</v>
      </c>
      <c r="I7" s="17">
        <f t="shared" si="0"/>
        <v>2.5499999999999998</v>
      </c>
    </row>
    <row r="8" spans="1:9" x14ac:dyDescent="0.25">
      <c r="A8" s="36"/>
      <c r="B8" s="33"/>
      <c r="C8" s="34"/>
      <c r="D8" s="34"/>
      <c r="E8" s="35"/>
      <c r="F8" s="35"/>
      <c r="G8" s="5" t="s">
        <v>147</v>
      </c>
      <c r="H8" s="16">
        <v>3.2</v>
      </c>
      <c r="I8" s="17">
        <f t="shared" si="0"/>
        <v>3.2</v>
      </c>
    </row>
    <row r="9" spans="1:9" x14ac:dyDescent="0.25">
      <c r="A9" s="36"/>
      <c r="B9" s="33"/>
      <c r="C9" s="34"/>
      <c r="D9" s="34"/>
      <c r="E9" s="35"/>
      <c r="F9" s="35"/>
      <c r="G9" s="5" t="s">
        <v>148</v>
      </c>
      <c r="H9" s="16">
        <v>3.3</v>
      </c>
      <c r="I9" s="17">
        <f t="shared" si="0"/>
        <v>3.3</v>
      </c>
    </row>
    <row r="10" spans="1:9" x14ac:dyDescent="0.25">
      <c r="A10" s="36"/>
      <c r="B10" s="33"/>
      <c r="C10" s="34"/>
      <c r="D10" s="34"/>
      <c r="E10" s="35"/>
      <c r="F10" s="35"/>
      <c r="G10" s="5" t="s">
        <v>80</v>
      </c>
      <c r="H10" s="16">
        <v>3.8</v>
      </c>
      <c r="I10" s="17">
        <f t="shared" si="0"/>
        <v>3.8</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1.078543164246502</v>
      </c>
      <c r="B20" s="8">
        <f>COUNT(H3:H17)</f>
        <v>8</v>
      </c>
      <c r="C20" s="9">
        <f>IF(B20&lt;2,"n/a",(A20/D20))</f>
        <v>0.26178232141905389</v>
      </c>
      <c r="D20" s="10">
        <f>IFERROR(ROUND(AVERAGE(H3:H17),2),"")</f>
        <v>4.12</v>
      </c>
      <c r="E20" s="15">
        <f>IFERROR(ROUND(IF(B20&lt;2,"n/a",(IF(C20&lt;=25%,"n/a",AVERAGE(I3:I17)))),2),"n/a")</f>
        <v>3.69</v>
      </c>
      <c r="F20" s="10">
        <f>IFERROR(ROUND(MEDIAN(H3:H17),2),"")</f>
        <v>4.05</v>
      </c>
      <c r="G20" s="11" t="str">
        <f>IFERROR(INDEX(G3:G17,MATCH(H20,H3:H17,0)),"")</f>
        <v xml:space="preserve">SALENAS CONFECÇÃO </v>
      </c>
      <c r="H20" s="12">
        <f>F3</f>
        <v>2.5499999999999998</v>
      </c>
    </row>
    <row r="22" spans="1:9" x14ac:dyDescent="0.25">
      <c r="G22" s="13" t="s">
        <v>20</v>
      </c>
      <c r="H22" s="14">
        <f>IF(C20&lt;=25%,D20,MIN(E20:F20))</f>
        <v>3.69</v>
      </c>
    </row>
    <row r="23" spans="1:9" x14ac:dyDescent="0.25">
      <c r="G23" s="13" t="s">
        <v>6</v>
      </c>
      <c r="H23" s="14">
        <f>ROUND(H22,2)*D3</f>
        <v>18450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15</v>
      </c>
      <c r="B3" s="32" t="s">
        <v>149</v>
      </c>
      <c r="C3" s="34" t="s">
        <v>7</v>
      </c>
      <c r="D3" s="34">
        <v>200</v>
      </c>
      <c r="E3" s="35">
        <f>IF(C20&lt;=25%,D20,MIN(E20:F20))</f>
        <v>6.24</v>
      </c>
      <c r="F3" s="35">
        <f>MIN(H3:H17)</f>
        <v>1.5</v>
      </c>
      <c r="G3" s="5" t="s">
        <v>83</v>
      </c>
      <c r="H3" s="16">
        <v>8.9</v>
      </c>
      <c r="I3" s="17">
        <f>IF(H3="","",(IF($C$20&lt;25%,"n/a",IF(H3&lt;=($D$20+$A$20),H3,"Descartado"))))</f>
        <v>8.9</v>
      </c>
    </row>
    <row r="4" spans="1:9" x14ac:dyDescent="0.25">
      <c r="A4" s="36"/>
      <c r="B4" s="33"/>
      <c r="C4" s="34"/>
      <c r="D4" s="34"/>
      <c r="E4" s="35"/>
      <c r="F4" s="35"/>
      <c r="G4" s="5" t="s">
        <v>150</v>
      </c>
      <c r="H4" s="16">
        <v>8.99</v>
      </c>
      <c r="I4" s="17">
        <f t="shared" ref="I4:I17" si="0">IF(H4="","",(IF($C$20&lt;25%,"n/a",IF(H4&lt;=($D$20+$A$20),H4,"Descartado"))))</f>
        <v>8.99</v>
      </c>
    </row>
    <row r="5" spans="1:9" x14ac:dyDescent="0.25">
      <c r="A5" s="36"/>
      <c r="B5" s="33"/>
      <c r="C5" s="34"/>
      <c r="D5" s="34"/>
      <c r="E5" s="35"/>
      <c r="F5" s="35"/>
      <c r="G5" s="5" t="s">
        <v>151</v>
      </c>
      <c r="H5" s="16">
        <v>13.39</v>
      </c>
      <c r="I5" s="17" t="str">
        <f t="shared" si="0"/>
        <v>Descartado</v>
      </c>
    </row>
    <row r="6" spans="1:9" x14ac:dyDescent="0.25">
      <c r="A6" s="36"/>
      <c r="B6" s="33"/>
      <c r="C6" s="34"/>
      <c r="D6" s="34"/>
      <c r="E6" s="35"/>
      <c r="F6" s="35"/>
      <c r="G6" s="5" t="s">
        <v>50</v>
      </c>
      <c r="H6" s="16">
        <v>5.9</v>
      </c>
      <c r="I6" s="17">
        <f t="shared" si="0"/>
        <v>5.9</v>
      </c>
    </row>
    <row r="7" spans="1:9" x14ac:dyDescent="0.25">
      <c r="A7" s="36"/>
      <c r="B7" s="33"/>
      <c r="C7" s="34"/>
      <c r="D7" s="34"/>
      <c r="E7" s="35"/>
      <c r="F7" s="35"/>
      <c r="G7" s="5" t="s">
        <v>152</v>
      </c>
      <c r="H7" s="16">
        <v>5.13</v>
      </c>
      <c r="I7" s="17">
        <f t="shared" si="0"/>
        <v>5.13</v>
      </c>
    </row>
    <row r="8" spans="1:9" x14ac:dyDescent="0.25">
      <c r="A8" s="36"/>
      <c r="B8" s="33"/>
      <c r="C8" s="34"/>
      <c r="D8" s="34"/>
      <c r="E8" s="35"/>
      <c r="F8" s="35"/>
      <c r="G8" s="5" t="s">
        <v>153</v>
      </c>
      <c r="H8" s="16">
        <v>4.79</v>
      </c>
      <c r="I8" s="17">
        <f t="shared" si="0"/>
        <v>4.79</v>
      </c>
    </row>
    <row r="9" spans="1:9" x14ac:dyDescent="0.25">
      <c r="A9" s="36"/>
      <c r="B9" s="33"/>
      <c r="C9" s="34"/>
      <c r="D9" s="34"/>
      <c r="E9" s="35"/>
      <c r="F9" s="35"/>
      <c r="G9" s="5" t="s">
        <v>120</v>
      </c>
      <c r="H9" s="16">
        <v>1.5</v>
      </c>
      <c r="I9" s="17">
        <f t="shared" si="0"/>
        <v>1.5</v>
      </c>
    </row>
    <row r="10" spans="1:9" x14ac:dyDescent="0.25">
      <c r="A10" s="36"/>
      <c r="B10" s="33"/>
      <c r="C10" s="34"/>
      <c r="D10" s="34"/>
      <c r="E10" s="35"/>
      <c r="F10" s="35"/>
      <c r="G10" s="5" t="s">
        <v>154</v>
      </c>
      <c r="H10" s="16">
        <v>8.5</v>
      </c>
      <c r="I10" s="17">
        <f t="shared" si="0"/>
        <v>8.5</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3.5924911770445376</v>
      </c>
      <c r="B20" s="8">
        <f>COUNT(H3:H17)</f>
        <v>8</v>
      </c>
      <c r="C20" s="9">
        <f>IF(B20&lt;2,"n/a",(A20/D20))</f>
        <v>0.50315002479615378</v>
      </c>
      <c r="D20" s="10">
        <f>IFERROR(ROUND(AVERAGE(H3:H17),2),"")</f>
        <v>7.14</v>
      </c>
      <c r="E20" s="15">
        <f>IFERROR(ROUND(IF(B20&lt;2,"n/a",(IF(C20&lt;=25%,"n/a",AVERAGE(I3:I17)))),2),"n/a")</f>
        <v>6.24</v>
      </c>
      <c r="F20" s="10">
        <f>IFERROR(ROUND(MEDIAN(H3:H17),2),"")</f>
        <v>7.2</v>
      </c>
      <c r="G20" s="11" t="str">
        <f>IFERROR(INDEX(G3:G17,MATCH(H20,H3:H17,0)),"")</f>
        <v>DAIANE DOS SANTOS MARTINS</v>
      </c>
      <c r="H20" s="12">
        <f>F3</f>
        <v>1.5</v>
      </c>
    </row>
    <row r="22" spans="1:9" x14ac:dyDescent="0.25">
      <c r="G22" s="13" t="s">
        <v>20</v>
      </c>
      <c r="H22" s="14">
        <f>IF(C20&lt;=25%,D20,MIN(E20:F20))</f>
        <v>6.24</v>
      </c>
    </row>
    <row r="23" spans="1:9" x14ac:dyDescent="0.25">
      <c r="G23" s="13" t="s">
        <v>6</v>
      </c>
      <c r="H23" s="14">
        <f>ROUND(H22,2)*D3</f>
        <v>1248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16</v>
      </c>
      <c r="B3" s="32" t="s">
        <v>155</v>
      </c>
      <c r="C3" s="34" t="s">
        <v>7</v>
      </c>
      <c r="D3" s="34">
        <v>5000</v>
      </c>
      <c r="E3" s="35">
        <f>IF(C20&lt;=25%,D20,MIN(E20:F20))</f>
        <v>2.97</v>
      </c>
      <c r="F3" s="35">
        <f>MIN(H3:H17)</f>
        <v>1.7</v>
      </c>
      <c r="G3" s="5" t="s">
        <v>156</v>
      </c>
      <c r="H3" s="16">
        <v>2.9</v>
      </c>
      <c r="I3" s="17">
        <f>IF(H3="","",(IF($C$20&lt;25%,"n/a",IF(H3&lt;=($D$20+$A$20),H3,"Descartado"))))</f>
        <v>2.9</v>
      </c>
    </row>
    <row r="4" spans="1:9" x14ac:dyDescent="0.25">
      <c r="A4" s="36"/>
      <c r="B4" s="33"/>
      <c r="C4" s="34"/>
      <c r="D4" s="34"/>
      <c r="E4" s="35"/>
      <c r="F4" s="35"/>
      <c r="G4" s="5" t="s">
        <v>157</v>
      </c>
      <c r="H4" s="16">
        <v>2.14</v>
      </c>
      <c r="I4" s="17">
        <f t="shared" ref="I4:I17" si="0">IF(H4="","",(IF($C$20&lt;25%,"n/a",IF(H4&lt;=($D$20+$A$20),H4,"Descartado"))))</f>
        <v>2.14</v>
      </c>
    </row>
    <row r="5" spans="1:9" x14ac:dyDescent="0.25">
      <c r="A5" s="36"/>
      <c r="B5" s="33"/>
      <c r="C5" s="34"/>
      <c r="D5" s="34"/>
      <c r="E5" s="35"/>
      <c r="F5" s="35"/>
      <c r="G5" s="5" t="s">
        <v>158</v>
      </c>
      <c r="H5" s="16">
        <v>3.2</v>
      </c>
      <c r="I5" s="17">
        <f t="shared" si="0"/>
        <v>3.2</v>
      </c>
    </row>
    <row r="6" spans="1:9" x14ac:dyDescent="0.25">
      <c r="A6" s="36"/>
      <c r="B6" s="33"/>
      <c r="C6" s="34"/>
      <c r="D6" s="34"/>
      <c r="E6" s="35"/>
      <c r="F6" s="35"/>
      <c r="G6" s="5" t="s">
        <v>50</v>
      </c>
      <c r="H6" s="16">
        <v>9.9499999999999993</v>
      </c>
      <c r="I6" s="17" t="str">
        <f t="shared" si="0"/>
        <v>Descartado</v>
      </c>
    </row>
    <row r="7" spans="1:9" x14ac:dyDescent="0.25">
      <c r="A7" s="36"/>
      <c r="B7" s="33"/>
      <c r="C7" s="34"/>
      <c r="D7" s="34"/>
      <c r="E7" s="35"/>
      <c r="F7" s="35"/>
      <c r="G7" s="5" t="s">
        <v>159</v>
      </c>
      <c r="H7" s="16">
        <v>1.7</v>
      </c>
      <c r="I7" s="17">
        <f t="shared" si="0"/>
        <v>1.7</v>
      </c>
    </row>
    <row r="8" spans="1:9" x14ac:dyDescent="0.25">
      <c r="A8" s="36"/>
      <c r="B8" s="33"/>
      <c r="C8" s="34"/>
      <c r="D8" s="34"/>
      <c r="E8" s="35"/>
      <c r="F8" s="35"/>
      <c r="G8" s="5" t="s">
        <v>160</v>
      </c>
      <c r="H8" s="16">
        <v>3.1</v>
      </c>
      <c r="I8" s="17">
        <f t="shared" si="0"/>
        <v>3.1</v>
      </c>
    </row>
    <row r="9" spans="1:9" x14ac:dyDescent="0.25">
      <c r="A9" s="36"/>
      <c r="B9" s="33"/>
      <c r="C9" s="34"/>
      <c r="D9" s="34"/>
      <c r="E9" s="35"/>
      <c r="F9" s="35"/>
      <c r="G9" s="5" t="s">
        <v>161</v>
      </c>
      <c r="H9" s="16">
        <v>3.86</v>
      </c>
      <c r="I9" s="17">
        <f t="shared" si="0"/>
        <v>3.86</v>
      </c>
    </row>
    <row r="10" spans="1:9" x14ac:dyDescent="0.25">
      <c r="A10" s="36"/>
      <c r="B10" s="33"/>
      <c r="C10" s="34"/>
      <c r="D10" s="34"/>
      <c r="E10" s="35"/>
      <c r="F10" s="35"/>
      <c r="G10" s="5" t="s">
        <v>162</v>
      </c>
      <c r="H10" s="16">
        <v>3.86</v>
      </c>
      <c r="I10" s="17">
        <f t="shared" si="0"/>
        <v>3.86</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2.5813420512815206</v>
      </c>
      <c r="B20" s="8">
        <f>COUNT(H3:H17)</f>
        <v>8</v>
      </c>
      <c r="C20" s="9">
        <f>IF(B20&lt;2,"n/a",(A20/D20))</f>
        <v>0.6722244925212294</v>
      </c>
      <c r="D20" s="10">
        <f>IFERROR(ROUND(AVERAGE(H3:H17),2),"")</f>
        <v>3.84</v>
      </c>
      <c r="E20" s="15">
        <f>IFERROR(ROUND(IF(B20&lt;2,"n/a",(IF(C20&lt;=25%,"n/a",AVERAGE(I3:I17)))),2),"n/a")</f>
        <v>2.97</v>
      </c>
      <c r="F20" s="10">
        <f>IFERROR(ROUND(MEDIAN(H3:H17),2),"")</f>
        <v>3.15</v>
      </c>
      <c r="G20" s="11" t="str">
        <f>IFERROR(INDEX(G3:G17,MATCH(H20,H3:H17,0)),"")</f>
        <v>AVIL TEXTIL</v>
      </c>
      <c r="H20" s="12">
        <f>F3</f>
        <v>1.7</v>
      </c>
    </row>
    <row r="22" spans="1:9" x14ac:dyDescent="0.25">
      <c r="G22" s="13" t="s">
        <v>20</v>
      </c>
      <c r="H22" s="14">
        <f>IF(C20&lt;=25%,D20,MIN(E20:F20))</f>
        <v>2.97</v>
      </c>
    </row>
    <row r="23" spans="1:9" x14ac:dyDescent="0.25">
      <c r="G23" s="13" t="s">
        <v>6</v>
      </c>
      <c r="H23" s="14">
        <f>ROUND(H22,2)*D3</f>
        <v>14850.000000000002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17</v>
      </c>
      <c r="B3" s="32" t="s">
        <v>163</v>
      </c>
      <c r="C3" s="34" t="s">
        <v>7</v>
      </c>
      <c r="D3" s="34">
        <v>300</v>
      </c>
      <c r="E3" s="35">
        <f>IF(C20&lt;=25%,D20,MIN(E20:F20))</f>
        <v>2.94</v>
      </c>
      <c r="F3" s="35">
        <f>MIN(H3:H17)</f>
        <v>2.8</v>
      </c>
      <c r="G3" s="5" t="s">
        <v>164</v>
      </c>
      <c r="H3" s="16">
        <v>3</v>
      </c>
      <c r="I3" s="17">
        <f>IF(H3="","",(IF($C$20&lt;25%,"n/a",IF(H3&lt;=($D$20+$A$20),H3,"Descartado"))))</f>
        <v>3</v>
      </c>
    </row>
    <row r="4" spans="1:9" x14ac:dyDescent="0.25">
      <c r="A4" s="36"/>
      <c r="B4" s="33"/>
      <c r="C4" s="34"/>
      <c r="D4" s="34"/>
      <c r="E4" s="35"/>
      <c r="F4" s="35"/>
      <c r="G4" s="5" t="s">
        <v>165</v>
      </c>
      <c r="H4" s="16">
        <v>4.66</v>
      </c>
      <c r="I4" s="17" t="str">
        <f t="shared" ref="I4:I17" si="0">IF(H4="","",(IF($C$20&lt;25%,"n/a",IF(H4&lt;=($D$20+$A$20),H4,"Descartado"))))</f>
        <v>Descartado</v>
      </c>
    </row>
    <row r="5" spans="1:9" x14ac:dyDescent="0.25">
      <c r="A5" s="36"/>
      <c r="B5" s="33"/>
      <c r="C5" s="34"/>
      <c r="D5" s="34"/>
      <c r="E5" s="35"/>
      <c r="F5" s="35"/>
      <c r="G5" s="5" t="s">
        <v>166</v>
      </c>
      <c r="H5" s="16">
        <v>2.98</v>
      </c>
      <c r="I5" s="17">
        <f t="shared" si="0"/>
        <v>2.98</v>
      </c>
    </row>
    <row r="6" spans="1:9" x14ac:dyDescent="0.25">
      <c r="A6" s="36"/>
      <c r="B6" s="33"/>
      <c r="C6" s="34"/>
      <c r="D6" s="34"/>
      <c r="E6" s="35"/>
      <c r="F6" s="35"/>
      <c r="G6" s="5" t="s">
        <v>83</v>
      </c>
      <c r="H6" s="16">
        <v>2.99</v>
      </c>
      <c r="I6" s="17">
        <f t="shared" si="0"/>
        <v>2.99</v>
      </c>
    </row>
    <row r="7" spans="1:9" x14ac:dyDescent="0.25">
      <c r="A7" s="36"/>
      <c r="B7" s="33"/>
      <c r="C7" s="34"/>
      <c r="D7" s="34"/>
      <c r="E7" s="35"/>
      <c r="F7" s="35"/>
      <c r="G7" s="5" t="s">
        <v>167</v>
      </c>
      <c r="H7" s="16">
        <v>2.8</v>
      </c>
      <c r="I7" s="17">
        <f t="shared" si="0"/>
        <v>2.8</v>
      </c>
    </row>
    <row r="8" spans="1:9" x14ac:dyDescent="0.25">
      <c r="A8" s="36"/>
      <c r="B8" s="33"/>
      <c r="C8" s="34"/>
      <c r="D8" s="34"/>
      <c r="E8" s="35"/>
      <c r="F8" s="35"/>
      <c r="G8" s="5" t="s">
        <v>168</v>
      </c>
      <c r="H8" s="16">
        <v>4.9000000000000004</v>
      </c>
      <c r="I8" s="17" t="str">
        <f t="shared" si="0"/>
        <v>Descartado</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0.95477222414563567</v>
      </c>
      <c r="B20" s="8">
        <f>COUNT(H3:H17)</f>
        <v>6</v>
      </c>
      <c r="C20" s="9">
        <f>IF(B20&lt;2,"n/a",(A20/D20))</f>
        <v>0.26819444498472911</v>
      </c>
      <c r="D20" s="10">
        <f>IFERROR(ROUND(AVERAGE(H3:H17),2),"")</f>
        <v>3.56</v>
      </c>
      <c r="E20" s="15">
        <f>IFERROR(ROUND(IF(B20&lt;2,"n/a",(IF(C20&lt;=25%,"n/a",AVERAGE(I3:I17)))),2),"n/a")</f>
        <v>2.94</v>
      </c>
      <c r="F20" s="10">
        <f>IFERROR(ROUND(MEDIAN(H3:H17),2),"")</f>
        <v>3</v>
      </c>
      <c r="G20" s="11" t="str">
        <f>IFERROR(INDEX(G3:G17,MATCH(H20,H3:H17,0)),"")</f>
        <v>VIEIRA &amp; SANTOS COMÉRCIO</v>
      </c>
      <c r="H20" s="12">
        <f>F3</f>
        <v>2.8</v>
      </c>
    </row>
    <row r="22" spans="1:9" x14ac:dyDescent="0.25">
      <c r="G22" s="13" t="s">
        <v>20</v>
      </c>
      <c r="H22" s="14">
        <f>IF(C20&lt;=25%,D20,MIN(E20:F20))</f>
        <v>2.94</v>
      </c>
    </row>
    <row r="23" spans="1:9" x14ac:dyDescent="0.25">
      <c r="G23" s="13" t="s">
        <v>6</v>
      </c>
      <c r="H23" s="14">
        <f>ROUND(H22,2)*D3</f>
        <v>882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18</v>
      </c>
      <c r="B3" s="32" t="s">
        <v>169</v>
      </c>
      <c r="C3" s="34" t="s">
        <v>7</v>
      </c>
      <c r="D3" s="34">
        <v>2000</v>
      </c>
      <c r="E3" s="35">
        <f>IF(C20&lt;=25%,D20,MIN(E20:F20))</f>
        <v>1.61</v>
      </c>
      <c r="F3" s="35">
        <f>MIN(H3:H17)</f>
        <v>1.1000000000000001</v>
      </c>
      <c r="G3" s="5" t="s">
        <v>170</v>
      </c>
      <c r="H3" s="16">
        <v>1.1000000000000001</v>
      </c>
      <c r="I3" s="17">
        <f>IF(H3="","",(IF($C$20&lt;25%,"n/a",IF(H3&lt;=($D$20+$A$20),H3,"Descartado"))))</f>
        <v>1.1000000000000001</v>
      </c>
    </row>
    <row r="4" spans="1:9" x14ac:dyDescent="0.25">
      <c r="A4" s="36"/>
      <c r="B4" s="33"/>
      <c r="C4" s="34"/>
      <c r="D4" s="34"/>
      <c r="E4" s="35"/>
      <c r="F4" s="35"/>
      <c r="G4" s="5" t="s">
        <v>171</v>
      </c>
      <c r="H4" s="16">
        <v>1.1499999999999999</v>
      </c>
      <c r="I4" s="17">
        <f t="shared" ref="I4:I17" si="0">IF(H4="","",(IF($C$20&lt;25%,"n/a",IF(H4&lt;=($D$20+$A$20),H4,"Descartado"))))</f>
        <v>1.1499999999999999</v>
      </c>
    </row>
    <row r="5" spans="1:9" x14ac:dyDescent="0.25">
      <c r="A5" s="36"/>
      <c r="B5" s="33"/>
      <c r="C5" s="34"/>
      <c r="D5" s="34"/>
      <c r="E5" s="35"/>
      <c r="F5" s="35"/>
      <c r="G5" s="5" t="s">
        <v>56</v>
      </c>
      <c r="H5" s="16">
        <v>1.35</v>
      </c>
      <c r="I5" s="17">
        <f t="shared" si="0"/>
        <v>1.35</v>
      </c>
    </row>
    <row r="6" spans="1:9" x14ac:dyDescent="0.25">
      <c r="A6" s="36"/>
      <c r="B6" s="33"/>
      <c r="C6" s="34"/>
      <c r="D6" s="34"/>
      <c r="E6" s="35"/>
      <c r="F6" s="35"/>
      <c r="G6" s="5" t="s">
        <v>45</v>
      </c>
      <c r="H6" s="16">
        <v>1.38</v>
      </c>
      <c r="I6" s="17">
        <f t="shared" si="0"/>
        <v>1.38</v>
      </c>
    </row>
    <row r="7" spans="1:9" x14ac:dyDescent="0.25">
      <c r="A7" s="36"/>
      <c r="B7" s="33"/>
      <c r="C7" s="34"/>
      <c r="D7" s="34"/>
      <c r="E7" s="35"/>
      <c r="F7" s="35"/>
      <c r="G7" s="5" t="s">
        <v>172</v>
      </c>
      <c r="H7" s="16">
        <v>1.5</v>
      </c>
      <c r="I7" s="17">
        <f t="shared" si="0"/>
        <v>1.5</v>
      </c>
    </row>
    <row r="8" spans="1:9" x14ac:dyDescent="0.25">
      <c r="A8" s="36"/>
      <c r="B8" s="33"/>
      <c r="C8" s="34"/>
      <c r="D8" s="34"/>
      <c r="E8" s="35"/>
      <c r="F8" s="35"/>
      <c r="G8" s="5" t="s">
        <v>173</v>
      </c>
      <c r="H8" s="16">
        <v>1.72</v>
      </c>
      <c r="I8" s="17">
        <f t="shared" si="0"/>
        <v>1.72</v>
      </c>
    </row>
    <row r="9" spans="1:9" x14ac:dyDescent="0.25">
      <c r="A9" s="36"/>
      <c r="B9" s="33"/>
      <c r="C9" s="34"/>
      <c r="D9" s="34"/>
      <c r="E9" s="35"/>
      <c r="F9" s="35"/>
      <c r="G9" s="5" t="s">
        <v>174</v>
      </c>
      <c r="H9" s="16">
        <v>1.74</v>
      </c>
      <c r="I9" s="17">
        <f t="shared" si="0"/>
        <v>1.74</v>
      </c>
    </row>
    <row r="10" spans="1:9" x14ac:dyDescent="0.25">
      <c r="A10" s="36"/>
      <c r="B10" s="33"/>
      <c r="C10" s="34"/>
      <c r="D10" s="34"/>
      <c r="E10" s="35"/>
      <c r="F10" s="35"/>
      <c r="G10" s="5" t="s">
        <v>175</v>
      </c>
      <c r="H10" s="16">
        <v>3</v>
      </c>
      <c r="I10" s="17">
        <f t="shared" si="0"/>
        <v>3</v>
      </c>
    </row>
    <row r="11" spans="1:9" x14ac:dyDescent="0.25">
      <c r="A11" s="36"/>
      <c r="B11" s="33"/>
      <c r="C11" s="34"/>
      <c r="D11" s="34"/>
      <c r="E11" s="35"/>
      <c r="F11" s="35"/>
      <c r="G11" s="5" t="s">
        <v>176</v>
      </c>
      <c r="H11" s="16">
        <v>7.8</v>
      </c>
      <c r="I11" s="17">
        <f t="shared" si="0"/>
        <v>7.8</v>
      </c>
    </row>
    <row r="12" spans="1:9" x14ac:dyDescent="0.25">
      <c r="A12" s="36"/>
      <c r="B12" s="33"/>
      <c r="C12" s="34"/>
      <c r="D12" s="34"/>
      <c r="E12" s="35"/>
      <c r="F12" s="35"/>
      <c r="G12" s="5" t="s">
        <v>177</v>
      </c>
      <c r="H12" s="16">
        <v>19.5</v>
      </c>
      <c r="I12" s="17" t="str">
        <f t="shared" si="0"/>
        <v>Descartado</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5.799038617640762</v>
      </c>
      <c r="B20" s="8">
        <f>COUNT(H3:H17)</f>
        <v>10</v>
      </c>
      <c r="C20" s="9">
        <f>IF(B20&lt;2,"n/a",(A20/D20))</f>
        <v>1.4425469198111349</v>
      </c>
      <c r="D20" s="10">
        <f>IFERROR(ROUND(AVERAGE(H3:H17),2),"")</f>
        <v>4.0199999999999996</v>
      </c>
      <c r="E20" s="15">
        <f>IFERROR(ROUND(IF(B20&lt;2,"n/a",(IF(C20&lt;=25%,"n/a",AVERAGE(I3:I17)))),2),"n/a")</f>
        <v>2.2999999999999998</v>
      </c>
      <c r="F20" s="10">
        <f>IFERROR(ROUND(MEDIAN(H3:H17),2),"")</f>
        <v>1.61</v>
      </c>
      <c r="G20" s="11" t="str">
        <f>IFERROR(INDEX(G3:G17,MATCH(H20,H3:H17,0)),"")</f>
        <v>BAZAR DISTRIBUIDORA DE UTILIDADES</v>
      </c>
      <c r="H20" s="12">
        <f>F3</f>
        <v>1.1000000000000001</v>
      </c>
    </row>
    <row r="22" spans="1:9" x14ac:dyDescent="0.25">
      <c r="G22" s="13" t="s">
        <v>20</v>
      </c>
      <c r="H22" s="14">
        <f>IF(C20&lt;=25%,D20,MIN(E20:F20))</f>
        <v>1.61</v>
      </c>
    </row>
    <row r="23" spans="1:9" x14ac:dyDescent="0.25">
      <c r="G23" s="13" t="s">
        <v>6</v>
      </c>
      <c r="H23" s="14">
        <f>ROUND(H22,2)*D3</f>
        <v>3220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19</v>
      </c>
      <c r="B3" s="32" t="s">
        <v>178</v>
      </c>
      <c r="C3" s="34" t="s">
        <v>39</v>
      </c>
      <c r="D3" s="34">
        <v>4000</v>
      </c>
      <c r="E3" s="35">
        <f>IF(C20&lt;=25%,D20,MIN(E20:F20))</f>
        <v>3.3</v>
      </c>
      <c r="F3" s="35">
        <f>MIN(H3:H17)</f>
        <v>2.2000000000000002</v>
      </c>
      <c r="G3" s="5" t="s">
        <v>50</v>
      </c>
      <c r="H3" s="16">
        <v>3.1</v>
      </c>
      <c r="I3" s="17">
        <f>IF(H3="","",(IF($C$20&lt;25%,"n/a",IF(H3&lt;=($D$20+$A$20),H3,"Descartado"))))</f>
        <v>3.1</v>
      </c>
    </row>
    <row r="4" spans="1:9" x14ac:dyDescent="0.25">
      <c r="A4" s="36"/>
      <c r="B4" s="33"/>
      <c r="C4" s="34"/>
      <c r="D4" s="34"/>
      <c r="E4" s="35"/>
      <c r="F4" s="35"/>
      <c r="G4" s="5" t="s">
        <v>179</v>
      </c>
      <c r="H4" s="16">
        <v>4.99</v>
      </c>
      <c r="I4" s="17">
        <f t="shared" ref="I4:I17" si="0">IF(H4="","",(IF($C$20&lt;25%,"n/a",IF(H4&lt;=($D$20+$A$20),H4,"Descartado"))))</f>
        <v>4.99</v>
      </c>
    </row>
    <row r="5" spans="1:9" x14ac:dyDescent="0.25">
      <c r="A5" s="36"/>
      <c r="B5" s="33"/>
      <c r="C5" s="34"/>
      <c r="D5" s="34"/>
      <c r="E5" s="35"/>
      <c r="F5" s="35"/>
      <c r="G5" s="5" t="s">
        <v>180</v>
      </c>
      <c r="H5" s="16">
        <v>3.98</v>
      </c>
      <c r="I5" s="17">
        <f t="shared" si="0"/>
        <v>3.98</v>
      </c>
    </row>
    <row r="6" spans="1:9" x14ac:dyDescent="0.25">
      <c r="A6" s="36"/>
      <c r="B6" s="33"/>
      <c r="C6" s="34"/>
      <c r="D6" s="34"/>
      <c r="E6" s="35"/>
      <c r="F6" s="35"/>
      <c r="G6" s="5" t="s">
        <v>53</v>
      </c>
      <c r="H6" s="16">
        <v>2.67</v>
      </c>
      <c r="I6" s="17">
        <f t="shared" si="0"/>
        <v>2.67</v>
      </c>
    </row>
    <row r="7" spans="1:9" x14ac:dyDescent="0.25">
      <c r="A7" s="36"/>
      <c r="B7" s="33"/>
      <c r="C7" s="34"/>
      <c r="D7" s="34"/>
      <c r="E7" s="35"/>
      <c r="F7" s="35"/>
      <c r="G7" s="5" t="s">
        <v>55</v>
      </c>
      <c r="H7" s="16">
        <v>6.55</v>
      </c>
      <c r="I7" s="17" t="str">
        <f t="shared" si="0"/>
        <v>Descartado</v>
      </c>
    </row>
    <row r="8" spans="1:9" x14ac:dyDescent="0.25">
      <c r="A8" s="36"/>
      <c r="B8" s="33"/>
      <c r="C8" s="34"/>
      <c r="D8" s="34"/>
      <c r="E8" s="35"/>
      <c r="F8" s="35"/>
      <c r="G8" s="5" t="s">
        <v>181</v>
      </c>
      <c r="H8" s="16">
        <v>3.89</v>
      </c>
      <c r="I8" s="17">
        <f t="shared" si="0"/>
        <v>3.89</v>
      </c>
    </row>
    <row r="9" spans="1:9" x14ac:dyDescent="0.25">
      <c r="A9" s="36"/>
      <c r="B9" s="33"/>
      <c r="C9" s="34"/>
      <c r="D9" s="34"/>
      <c r="E9" s="35"/>
      <c r="F9" s="35"/>
      <c r="G9" s="5" t="s">
        <v>105</v>
      </c>
      <c r="H9" s="16">
        <v>2.2000000000000002</v>
      </c>
      <c r="I9" s="17">
        <f t="shared" si="0"/>
        <v>2.2000000000000002</v>
      </c>
    </row>
    <row r="10" spans="1:9" x14ac:dyDescent="0.25">
      <c r="A10" s="36"/>
      <c r="B10" s="33"/>
      <c r="C10" s="34"/>
      <c r="D10" s="34"/>
      <c r="E10" s="35"/>
      <c r="F10" s="35"/>
      <c r="G10" s="5" t="s">
        <v>182</v>
      </c>
      <c r="H10" s="16">
        <v>2.2599999999999998</v>
      </c>
      <c r="I10" s="17">
        <f t="shared" si="0"/>
        <v>2.2599999999999998</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1.4950107500807959</v>
      </c>
      <c r="B20" s="8">
        <f>COUNT(H3:H17)</f>
        <v>8</v>
      </c>
      <c r="C20" s="9">
        <f>IF(B20&lt;2,"n/a",(A20/D20))</f>
        <v>0.40296785716463501</v>
      </c>
      <c r="D20" s="10">
        <f>IFERROR(ROUND(AVERAGE(H3:H17),2),"")</f>
        <v>3.71</v>
      </c>
      <c r="E20" s="15">
        <f>IFERROR(ROUND(IF(B20&lt;2,"n/a",(IF(C20&lt;=25%,"n/a",AVERAGE(I3:I17)))),2),"n/a")</f>
        <v>3.3</v>
      </c>
      <c r="F20" s="10">
        <f>IFERROR(ROUND(MEDIAN(H3:H17),2),"")</f>
        <v>3.5</v>
      </c>
      <c r="G20" s="11" t="str">
        <f>IFERROR(INDEX(G3:G17,MATCH(H20,H3:H17,0)),"")</f>
        <v>LRF DISTRIBUIDORA LTDA</v>
      </c>
      <c r="H20" s="12">
        <f>F3</f>
        <v>2.2000000000000002</v>
      </c>
    </row>
    <row r="22" spans="1:9" x14ac:dyDescent="0.25">
      <c r="G22" s="13" t="s">
        <v>20</v>
      </c>
      <c r="H22" s="14">
        <f>IF(C20&lt;=25%,D20,MIN(E20:F20))</f>
        <v>3.3</v>
      </c>
    </row>
    <row r="23" spans="1:9" x14ac:dyDescent="0.25">
      <c r="G23" s="13" t="s">
        <v>6</v>
      </c>
      <c r="H23" s="14">
        <f>ROUND(H22,2)*D3</f>
        <v>13200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2</v>
      </c>
      <c r="B3" s="32" t="s">
        <v>48</v>
      </c>
      <c r="C3" s="34" t="s">
        <v>39</v>
      </c>
      <c r="D3" s="34">
        <v>300</v>
      </c>
      <c r="E3" s="35">
        <f>IF(C20&lt;=25%,D20,MIN(E20:F20))</f>
        <v>37.53</v>
      </c>
      <c r="F3" s="35">
        <f>MIN(H3:H17)</f>
        <v>26</v>
      </c>
      <c r="G3" s="5" t="s">
        <v>40</v>
      </c>
      <c r="H3" s="16">
        <v>47.1</v>
      </c>
      <c r="I3" s="17">
        <f>IF(H3="","",(IF($C$20&lt;25%,"n/a",IF(H3&lt;=($D$20+$A$20),H3,"Descartado"))))</f>
        <v>47.1</v>
      </c>
    </row>
    <row r="4" spans="1:9" x14ac:dyDescent="0.25">
      <c r="A4" s="36"/>
      <c r="B4" s="33"/>
      <c r="C4" s="34"/>
      <c r="D4" s="34"/>
      <c r="E4" s="35"/>
      <c r="F4" s="35"/>
      <c r="G4" s="5" t="s">
        <v>36</v>
      </c>
      <c r="H4" s="16">
        <v>39.9</v>
      </c>
      <c r="I4" s="17">
        <f t="shared" ref="I4:I17" si="0">IF(H4="","",(IF($C$20&lt;25%,"n/a",IF(H4&lt;=($D$20+$A$20),H4,"Descartado"))))</f>
        <v>39.9</v>
      </c>
    </row>
    <row r="5" spans="1:9" x14ac:dyDescent="0.25">
      <c r="A5" s="36"/>
      <c r="B5" s="33"/>
      <c r="C5" s="34"/>
      <c r="D5" s="34"/>
      <c r="E5" s="35"/>
      <c r="F5" s="35"/>
      <c r="G5" s="5" t="s">
        <v>41</v>
      </c>
      <c r="H5" s="16">
        <v>54.6</v>
      </c>
      <c r="I5" s="17">
        <f t="shared" si="0"/>
        <v>54.6</v>
      </c>
    </row>
    <row r="6" spans="1:9" x14ac:dyDescent="0.25">
      <c r="A6" s="36"/>
      <c r="B6" s="33"/>
      <c r="C6" s="34"/>
      <c r="D6" s="34"/>
      <c r="E6" s="35"/>
      <c r="F6" s="35"/>
      <c r="G6" s="5" t="s">
        <v>42</v>
      </c>
      <c r="H6" s="16">
        <v>51.6</v>
      </c>
      <c r="I6" s="17">
        <f t="shared" si="0"/>
        <v>51.6</v>
      </c>
    </row>
    <row r="7" spans="1:9" x14ac:dyDescent="0.25">
      <c r="A7" s="36"/>
      <c r="B7" s="33"/>
      <c r="C7" s="34"/>
      <c r="D7" s="34"/>
      <c r="E7" s="35"/>
      <c r="F7" s="35"/>
      <c r="G7" s="5" t="s">
        <v>43</v>
      </c>
      <c r="H7" s="16">
        <v>75</v>
      </c>
      <c r="I7" s="17" t="str">
        <f t="shared" si="0"/>
        <v>Descartado</v>
      </c>
    </row>
    <row r="8" spans="1:9" x14ac:dyDescent="0.25">
      <c r="A8" s="36"/>
      <c r="B8" s="33"/>
      <c r="C8" s="34"/>
      <c r="D8" s="34"/>
      <c r="E8" s="35"/>
      <c r="F8" s="35"/>
      <c r="G8" s="5" t="s">
        <v>44</v>
      </c>
      <c r="H8" s="16">
        <v>26</v>
      </c>
      <c r="I8" s="17">
        <f t="shared" si="0"/>
        <v>26</v>
      </c>
    </row>
    <row r="9" spans="1:9" x14ac:dyDescent="0.25">
      <c r="A9" s="36"/>
      <c r="B9" s="33"/>
      <c r="C9" s="34"/>
      <c r="D9" s="34"/>
      <c r="E9" s="35"/>
      <c r="F9" s="35"/>
      <c r="G9" s="5" t="s">
        <v>45</v>
      </c>
      <c r="H9" s="16">
        <v>26</v>
      </c>
      <c r="I9" s="17">
        <f t="shared" si="0"/>
        <v>26</v>
      </c>
    </row>
    <row r="10" spans="1:9" x14ac:dyDescent="0.25">
      <c r="A10" s="36"/>
      <c r="B10" s="33"/>
      <c r="C10" s="34"/>
      <c r="D10" s="34"/>
      <c r="E10" s="35"/>
      <c r="F10" s="35"/>
      <c r="G10" s="5" t="s">
        <v>46</v>
      </c>
      <c r="H10" s="16">
        <v>27</v>
      </c>
      <c r="I10" s="17">
        <f t="shared" si="0"/>
        <v>27</v>
      </c>
    </row>
    <row r="11" spans="1:9" x14ac:dyDescent="0.25">
      <c r="A11" s="36"/>
      <c r="B11" s="33"/>
      <c r="C11" s="34"/>
      <c r="D11" s="34"/>
      <c r="E11" s="35"/>
      <c r="F11" s="35"/>
      <c r="G11" s="5" t="s">
        <v>47</v>
      </c>
      <c r="H11" s="16">
        <v>28</v>
      </c>
      <c r="I11" s="17">
        <f t="shared" si="0"/>
        <v>28</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16.964922962133112</v>
      </c>
      <c r="B20" s="8">
        <f>COUNT(H3:H17)</f>
        <v>9</v>
      </c>
      <c r="C20" s="9">
        <f>IF(B20&lt;2,"n/a",(A20/D20))</f>
        <v>0.40693027013991634</v>
      </c>
      <c r="D20" s="10">
        <f>IFERROR(ROUND(AVERAGE(H3:H17),2),"")</f>
        <v>41.69</v>
      </c>
      <c r="E20" s="15">
        <f>IFERROR(ROUND(IF(B20&lt;2,"n/a",(IF(C20&lt;=25%,"n/a",AVERAGE(I3:I17)))),2),"n/a")</f>
        <v>37.53</v>
      </c>
      <c r="F20" s="10">
        <f>IFERROR(ROUND(MEDIAN(H3:H17),2),"")</f>
        <v>39.9</v>
      </c>
      <c r="G20" s="11" t="str">
        <f>IFERROR(INDEX(G3:G17,MATCH(H20,H3:H17,0)),"")</f>
        <v>MABEM COMÉRCIO E DISTRIBUIÇÃO</v>
      </c>
      <c r="H20" s="12">
        <f>F3</f>
        <v>26</v>
      </c>
    </row>
    <row r="22" spans="1:9" x14ac:dyDescent="0.25">
      <c r="G22" s="13" t="s">
        <v>20</v>
      </c>
      <c r="H22" s="14">
        <f>IF(C20&lt;=25%,D20,MIN(E20:F20))</f>
        <v>37.53</v>
      </c>
    </row>
    <row r="23" spans="1:9" x14ac:dyDescent="0.25">
      <c r="G23" s="13" t="s">
        <v>6</v>
      </c>
      <c r="H23" s="14">
        <f>ROUND(H22,2)*D3</f>
        <v>11259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20</v>
      </c>
      <c r="B3" s="32" t="s">
        <v>183</v>
      </c>
      <c r="C3" s="34" t="s">
        <v>39</v>
      </c>
      <c r="D3" s="34">
        <v>4000</v>
      </c>
      <c r="E3" s="35">
        <f>IF(C20&lt;=25%,D20,MIN(E20:F20))</f>
        <v>4.96</v>
      </c>
      <c r="F3" s="35">
        <f>MIN(H3:H17)</f>
        <v>3.5</v>
      </c>
      <c r="G3" s="5" t="s">
        <v>179</v>
      </c>
      <c r="H3" s="16">
        <v>5.95</v>
      </c>
      <c r="I3" s="17">
        <f>IF(H3="","",(IF($C$20&lt;25%,"n/a",IF(H3&lt;=($D$20+$A$20),H3,"Descartado"))))</f>
        <v>5.95</v>
      </c>
    </row>
    <row r="4" spans="1:9" x14ac:dyDescent="0.25">
      <c r="A4" s="36"/>
      <c r="B4" s="33"/>
      <c r="C4" s="34"/>
      <c r="D4" s="34"/>
      <c r="E4" s="35"/>
      <c r="F4" s="35"/>
      <c r="G4" s="5" t="s">
        <v>160</v>
      </c>
      <c r="H4" s="16">
        <v>7.47</v>
      </c>
      <c r="I4" s="17" t="str">
        <f t="shared" ref="I4:I17" si="0">IF(H4="","",(IF($C$20&lt;25%,"n/a",IF(H4&lt;=($D$20+$A$20),H4,"Descartado"))))</f>
        <v>Descartado</v>
      </c>
    </row>
    <row r="5" spans="1:9" x14ac:dyDescent="0.25">
      <c r="A5" s="36"/>
      <c r="B5" s="33"/>
      <c r="C5" s="34"/>
      <c r="D5" s="34"/>
      <c r="E5" s="35"/>
      <c r="F5" s="35"/>
      <c r="G5" s="5" t="s">
        <v>184</v>
      </c>
      <c r="H5" s="16">
        <v>8.9499999999999993</v>
      </c>
      <c r="I5" s="17" t="str">
        <f t="shared" si="0"/>
        <v>Descartado</v>
      </c>
    </row>
    <row r="6" spans="1:9" x14ac:dyDescent="0.25">
      <c r="A6" s="36"/>
      <c r="B6" s="33"/>
      <c r="C6" s="34"/>
      <c r="D6" s="34"/>
      <c r="E6" s="35"/>
      <c r="F6" s="35"/>
      <c r="G6" s="5" t="s">
        <v>185</v>
      </c>
      <c r="H6" s="16">
        <v>3.9</v>
      </c>
      <c r="I6" s="17">
        <f t="shared" si="0"/>
        <v>3.9</v>
      </c>
    </row>
    <row r="7" spans="1:9" x14ac:dyDescent="0.25">
      <c r="A7" s="36"/>
      <c r="B7" s="33"/>
      <c r="C7" s="34"/>
      <c r="D7" s="34"/>
      <c r="E7" s="35"/>
      <c r="F7" s="35"/>
      <c r="G7" s="5" t="s">
        <v>53</v>
      </c>
      <c r="H7" s="16">
        <v>4.96</v>
      </c>
      <c r="I7" s="17">
        <f t="shared" si="0"/>
        <v>4.96</v>
      </c>
    </row>
    <row r="8" spans="1:9" x14ac:dyDescent="0.25">
      <c r="A8" s="36"/>
      <c r="B8" s="33"/>
      <c r="C8" s="34"/>
      <c r="D8" s="34"/>
      <c r="E8" s="35"/>
      <c r="F8" s="35"/>
      <c r="G8" s="5" t="s">
        <v>186</v>
      </c>
      <c r="H8" s="16">
        <v>4.79</v>
      </c>
      <c r="I8" s="17">
        <f t="shared" si="0"/>
        <v>4.79</v>
      </c>
    </row>
    <row r="9" spans="1:9" x14ac:dyDescent="0.25">
      <c r="A9" s="36"/>
      <c r="B9" s="33"/>
      <c r="C9" s="34"/>
      <c r="D9" s="34"/>
      <c r="E9" s="35"/>
      <c r="F9" s="35"/>
      <c r="G9" s="5" t="s">
        <v>43</v>
      </c>
      <c r="H9" s="16">
        <v>7.1</v>
      </c>
      <c r="I9" s="17">
        <f t="shared" si="0"/>
        <v>7.1</v>
      </c>
    </row>
    <row r="10" spans="1:9" x14ac:dyDescent="0.25">
      <c r="A10" s="36"/>
      <c r="B10" s="33"/>
      <c r="C10" s="34"/>
      <c r="D10" s="34"/>
      <c r="E10" s="35"/>
      <c r="F10" s="35"/>
      <c r="G10" s="5" t="s">
        <v>187</v>
      </c>
      <c r="H10" s="16">
        <v>4.1900000000000004</v>
      </c>
      <c r="I10" s="17">
        <f t="shared" si="0"/>
        <v>4.1900000000000004</v>
      </c>
    </row>
    <row r="11" spans="1:9" x14ac:dyDescent="0.25">
      <c r="A11" s="36"/>
      <c r="B11" s="33"/>
      <c r="C11" s="34"/>
      <c r="D11" s="34"/>
      <c r="E11" s="35"/>
      <c r="F11" s="35"/>
      <c r="G11" s="5" t="s">
        <v>188</v>
      </c>
      <c r="H11" s="16">
        <v>6.75</v>
      </c>
      <c r="I11" s="17">
        <f t="shared" si="0"/>
        <v>6.75</v>
      </c>
    </row>
    <row r="12" spans="1:9" x14ac:dyDescent="0.25">
      <c r="A12" s="36"/>
      <c r="B12" s="33"/>
      <c r="C12" s="34"/>
      <c r="D12" s="34"/>
      <c r="E12" s="35"/>
      <c r="F12" s="35"/>
      <c r="G12" s="5" t="s">
        <v>189</v>
      </c>
      <c r="H12" s="16">
        <v>3.5</v>
      </c>
      <c r="I12" s="17">
        <f t="shared" si="0"/>
        <v>3.5</v>
      </c>
    </row>
    <row r="13" spans="1:9" x14ac:dyDescent="0.25">
      <c r="A13" s="36"/>
      <c r="B13" s="33"/>
      <c r="C13" s="34"/>
      <c r="D13" s="34"/>
      <c r="E13" s="35"/>
      <c r="F13" s="35"/>
      <c r="G13" s="5" t="s">
        <v>190</v>
      </c>
      <c r="H13" s="16">
        <v>4.42</v>
      </c>
      <c r="I13" s="17">
        <f t="shared" si="0"/>
        <v>4.42</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1.7363027595230265</v>
      </c>
      <c r="B20" s="8">
        <f>COUNT(H3:H17)</f>
        <v>11</v>
      </c>
      <c r="C20" s="9">
        <f>IF(B20&lt;2,"n/a",(A20/D20))</f>
        <v>0.30840191110533333</v>
      </c>
      <c r="D20" s="10">
        <f>IFERROR(ROUND(AVERAGE(H3:H17),2),"")</f>
        <v>5.63</v>
      </c>
      <c r="E20" s="15">
        <f>IFERROR(ROUND(IF(B20&lt;2,"n/a",(IF(C20&lt;=25%,"n/a",AVERAGE(I3:I17)))),2),"n/a")</f>
        <v>5.0599999999999996</v>
      </c>
      <c r="F20" s="10">
        <f>IFERROR(ROUND(MEDIAN(H3:H17),2),"")</f>
        <v>4.96</v>
      </c>
      <c r="G20" s="11" t="str">
        <f>IFERROR(INDEX(G3:G17,MATCH(H20,H3:H17,0)),"")</f>
        <v>PAPELARIA ARTNOVA</v>
      </c>
      <c r="H20" s="12">
        <f>F3</f>
        <v>3.5</v>
      </c>
    </row>
    <row r="22" spans="1:9" x14ac:dyDescent="0.25">
      <c r="G22" s="13" t="s">
        <v>20</v>
      </c>
      <c r="H22" s="14">
        <f>IF(C20&lt;=25%,D20,MIN(E20:F20))</f>
        <v>4.96</v>
      </c>
    </row>
    <row r="23" spans="1:9" x14ac:dyDescent="0.25">
      <c r="G23" s="13" t="s">
        <v>6</v>
      </c>
      <c r="H23" s="14">
        <f>ROUND(H22,2)*D3</f>
        <v>19840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6">
        <v>21</v>
      </c>
      <c r="B3" s="32" t="s">
        <v>191</v>
      </c>
      <c r="C3" s="34" t="s">
        <v>39</v>
      </c>
      <c r="D3" s="34">
        <v>3000</v>
      </c>
      <c r="E3" s="35">
        <f>IF(C20&lt;=25%,D20,MIN(E20:F20))</f>
        <v>8.36</v>
      </c>
      <c r="F3" s="35">
        <f>MIN(H3:H17)</f>
        <v>5.39</v>
      </c>
      <c r="G3" s="5" t="s">
        <v>192</v>
      </c>
      <c r="H3" s="16">
        <v>5.39</v>
      </c>
      <c r="I3" s="17" t="str">
        <f>IF(H3="","",(IF($C$20&lt;25%,"n/a",IF(H3&lt;=($D$20+$A$20),H3,"Descartado"))))</f>
        <v>n/a</v>
      </c>
    </row>
    <row r="4" spans="1:9" x14ac:dyDescent="0.25">
      <c r="A4" s="36"/>
      <c r="B4" s="33"/>
      <c r="C4" s="34"/>
      <c r="D4" s="34"/>
      <c r="E4" s="35"/>
      <c r="F4" s="35"/>
      <c r="G4" s="5" t="s">
        <v>137</v>
      </c>
      <c r="H4" s="16">
        <v>7.09</v>
      </c>
      <c r="I4" s="17" t="str">
        <f t="shared" ref="I4:I17" si="0">IF(H4="","",(IF($C$20&lt;25%,"n/a",IF(H4&lt;=($D$20+$A$20),H4,"Descartado"))))</f>
        <v>n/a</v>
      </c>
    </row>
    <row r="5" spans="1:9" x14ac:dyDescent="0.25">
      <c r="A5" s="36"/>
      <c r="B5" s="33"/>
      <c r="C5" s="34"/>
      <c r="D5" s="34"/>
      <c r="E5" s="35"/>
      <c r="F5" s="35"/>
      <c r="G5" s="5" t="s">
        <v>193</v>
      </c>
      <c r="H5" s="16">
        <v>7.9</v>
      </c>
      <c r="I5" s="17" t="str">
        <f t="shared" si="0"/>
        <v>n/a</v>
      </c>
    </row>
    <row r="6" spans="1:9" x14ac:dyDescent="0.25">
      <c r="A6" s="36"/>
      <c r="B6" s="33"/>
      <c r="C6" s="34"/>
      <c r="D6" s="34"/>
      <c r="E6" s="35"/>
      <c r="F6" s="35"/>
      <c r="G6" s="5" t="s">
        <v>194</v>
      </c>
      <c r="H6" s="16">
        <v>9.1999999999999993</v>
      </c>
      <c r="I6" s="17" t="str">
        <f t="shared" si="0"/>
        <v>n/a</v>
      </c>
    </row>
    <row r="7" spans="1:9" x14ac:dyDescent="0.25">
      <c r="A7" s="36"/>
      <c r="B7" s="33"/>
      <c r="C7" s="34"/>
      <c r="D7" s="34"/>
      <c r="E7" s="35"/>
      <c r="F7" s="35"/>
      <c r="G7" s="5" t="s">
        <v>195</v>
      </c>
      <c r="H7" s="16">
        <v>10.18</v>
      </c>
      <c r="I7" s="17" t="str">
        <f t="shared" si="0"/>
        <v>n/a</v>
      </c>
    </row>
    <row r="8" spans="1:9" x14ac:dyDescent="0.25">
      <c r="A8" s="36"/>
      <c r="B8" s="33"/>
      <c r="C8" s="34"/>
      <c r="D8" s="34"/>
      <c r="E8" s="35"/>
      <c r="F8" s="35"/>
      <c r="G8" s="5" t="s">
        <v>196</v>
      </c>
      <c r="H8" s="16">
        <v>10.4</v>
      </c>
      <c r="I8" s="17" t="str">
        <f t="shared" si="0"/>
        <v>n/a</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1.9403607911932219</v>
      </c>
      <c r="B20" s="8">
        <f>COUNT(H3:H17)</f>
        <v>6</v>
      </c>
      <c r="C20" s="9">
        <f>IF(B20&lt;2,"n/a",(A20/D20))</f>
        <v>0.2321005731092371</v>
      </c>
      <c r="D20" s="10">
        <f>IFERROR(ROUND(AVERAGE(H3:H17),2),"")</f>
        <v>8.36</v>
      </c>
      <c r="E20" s="15" t="str">
        <f>IFERROR(ROUND(IF(B20&lt;2,"n/a",(IF(C20&lt;=25%,"n/a",AVERAGE(I3:I17)))),2),"n/a")</f>
        <v>n/a</v>
      </c>
      <c r="F20" s="10">
        <f>IFERROR(ROUND(MEDIAN(H3:H17),2),"")</f>
        <v>8.5500000000000007</v>
      </c>
      <c r="G20" s="11" t="str">
        <f>IFERROR(INDEX(G3:G17,MATCH(H20,H3:H17,0)),"")</f>
        <v xml:space="preserve">BRAVA FORTE COMERCIAL </v>
      </c>
      <c r="H20" s="12">
        <f>F3</f>
        <v>5.39</v>
      </c>
    </row>
    <row r="22" spans="1:9" x14ac:dyDescent="0.25">
      <c r="G22" s="13" t="s">
        <v>20</v>
      </c>
      <c r="H22" s="14">
        <f>IF(C20&lt;=25%,D20,MIN(E20:F20))</f>
        <v>8.36</v>
      </c>
    </row>
    <row r="23" spans="1:9" x14ac:dyDescent="0.25">
      <c r="G23" s="13" t="s">
        <v>6</v>
      </c>
      <c r="H23" s="14">
        <f>ROUND(H22,2)*D3</f>
        <v>25080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6">
        <v>22</v>
      </c>
      <c r="B3" s="32" t="s">
        <v>197</v>
      </c>
      <c r="C3" s="34" t="s">
        <v>198</v>
      </c>
      <c r="D3" s="34">
        <v>2600</v>
      </c>
      <c r="E3" s="35">
        <f>IF(C20&lt;=25%,D20,MIN(E20:F20))</f>
        <v>30.48</v>
      </c>
      <c r="F3" s="35">
        <f>MIN(H3:H17)</f>
        <v>23.6</v>
      </c>
      <c r="G3" s="5" t="s">
        <v>199</v>
      </c>
      <c r="H3" s="16">
        <v>23.6</v>
      </c>
      <c r="I3" s="17" t="str">
        <f>IF(H3="","",(IF($C$20&lt;25%,"n/a",IF(H3&lt;=($D$20+$A$20),H3,"Descartado"))))</f>
        <v>n/a</v>
      </c>
    </row>
    <row r="4" spans="1:9" x14ac:dyDescent="0.25">
      <c r="A4" s="36"/>
      <c r="B4" s="33"/>
      <c r="C4" s="34"/>
      <c r="D4" s="34"/>
      <c r="E4" s="35"/>
      <c r="F4" s="35"/>
      <c r="G4" s="5" t="s">
        <v>37</v>
      </c>
      <c r="H4" s="16">
        <v>25</v>
      </c>
      <c r="I4" s="17" t="str">
        <f t="shared" ref="I4:I17" si="0">IF(H4="","",(IF($C$20&lt;25%,"n/a",IF(H4&lt;=($D$20+$A$20),H4,"Descartado"))))</f>
        <v>n/a</v>
      </c>
    </row>
    <row r="5" spans="1:9" x14ac:dyDescent="0.25">
      <c r="A5" s="36"/>
      <c r="B5" s="33"/>
      <c r="C5" s="34"/>
      <c r="D5" s="34"/>
      <c r="E5" s="35"/>
      <c r="F5" s="35"/>
      <c r="G5" s="5" t="s">
        <v>36</v>
      </c>
      <c r="H5" s="16">
        <v>30.9</v>
      </c>
      <c r="I5" s="17" t="str">
        <f t="shared" si="0"/>
        <v>n/a</v>
      </c>
    </row>
    <row r="6" spans="1:9" x14ac:dyDescent="0.25">
      <c r="A6" s="36"/>
      <c r="B6" s="33"/>
      <c r="C6" s="34"/>
      <c r="D6" s="34"/>
      <c r="E6" s="35"/>
      <c r="F6" s="35"/>
      <c r="G6" s="5" t="s">
        <v>200</v>
      </c>
      <c r="H6" s="16">
        <v>30.9</v>
      </c>
      <c r="I6" s="17" t="str">
        <f t="shared" si="0"/>
        <v>n/a</v>
      </c>
    </row>
    <row r="7" spans="1:9" x14ac:dyDescent="0.25">
      <c r="A7" s="36"/>
      <c r="B7" s="33"/>
      <c r="C7" s="34"/>
      <c r="D7" s="34"/>
      <c r="E7" s="35"/>
      <c r="F7" s="35"/>
      <c r="G7" s="5" t="s">
        <v>201</v>
      </c>
      <c r="H7" s="16">
        <v>39.9</v>
      </c>
      <c r="I7" s="17" t="str">
        <f t="shared" si="0"/>
        <v>n/a</v>
      </c>
    </row>
    <row r="8" spans="1:9" x14ac:dyDescent="0.25">
      <c r="A8" s="36"/>
      <c r="B8" s="33"/>
      <c r="C8" s="34"/>
      <c r="D8" s="34"/>
      <c r="E8" s="35"/>
      <c r="F8" s="35"/>
      <c r="G8" s="5" t="s">
        <v>202</v>
      </c>
      <c r="H8" s="16">
        <v>28.9</v>
      </c>
      <c r="I8" s="17" t="str">
        <f t="shared" si="0"/>
        <v>n/a</v>
      </c>
    </row>
    <row r="9" spans="1:9" x14ac:dyDescent="0.25">
      <c r="A9" s="36"/>
      <c r="B9" s="33"/>
      <c r="C9" s="34"/>
      <c r="D9" s="34"/>
      <c r="E9" s="35"/>
      <c r="F9" s="35"/>
      <c r="G9" s="5" t="s">
        <v>166</v>
      </c>
      <c r="H9" s="16">
        <v>26.99</v>
      </c>
      <c r="I9" s="17" t="str">
        <f t="shared" si="0"/>
        <v>n/a</v>
      </c>
    </row>
    <row r="10" spans="1:9" x14ac:dyDescent="0.25">
      <c r="A10" s="36"/>
      <c r="B10" s="33"/>
      <c r="C10" s="34"/>
      <c r="D10" s="34"/>
      <c r="E10" s="35"/>
      <c r="F10" s="35"/>
      <c r="G10" s="5" t="s">
        <v>203</v>
      </c>
      <c r="H10" s="16">
        <v>30.9</v>
      </c>
      <c r="I10" s="17" t="str">
        <f t="shared" si="0"/>
        <v>n/a</v>
      </c>
    </row>
    <row r="11" spans="1:9" x14ac:dyDescent="0.25">
      <c r="A11" s="36"/>
      <c r="B11" s="33"/>
      <c r="C11" s="34"/>
      <c r="D11" s="34"/>
      <c r="E11" s="35"/>
      <c r="F11" s="35"/>
      <c r="G11" s="5" t="s">
        <v>204</v>
      </c>
      <c r="H11" s="16">
        <v>31.07</v>
      </c>
      <c r="I11" s="17" t="str">
        <f t="shared" si="0"/>
        <v>n/a</v>
      </c>
    </row>
    <row r="12" spans="1:9" x14ac:dyDescent="0.25">
      <c r="A12" s="36"/>
      <c r="B12" s="33"/>
      <c r="C12" s="34"/>
      <c r="D12" s="34"/>
      <c r="E12" s="35"/>
      <c r="F12" s="35"/>
      <c r="G12" s="5" t="s">
        <v>205</v>
      </c>
      <c r="H12" s="16">
        <v>32.5</v>
      </c>
      <c r="I12" s="17" t="str">
        <f t="shared" si="0"/>
        <v>n/a</v>
      </c>
    </row>
    <row r="13" spans="1:9" x14ac:dyDescent="0.25">
      <c r="A13" s="36"/>
      <c r="B13" s="33"/>
      <c r="C13" s="34"/>
      <c r="D13" s="34"/>
      <c r="E13" s="35"/>
      <c r="F13" s="35"/>
      <c r="G13" s="5" t="s">
        <v>206</v>
      </c>
      <c r="H13" s="16">
        <v>34.700000000000003</v>
      </c>
      <c r="I13" s="17" t="str">
        <f t="shared" si="0"/>
        <v>n/a</v>
      </c>
    </row>
    <row r="14" spans="1:9" x14ac:dyDescent="0.25">
      <c r="A14" s="36"/>
      <c r="B14" s="33"/>
      <c r="C14" s="34"/>
      <c r="D14" s="34"/>
      <c r="E14" s="35"/>
      <c r="F14" s="35"/>
      <c r="G14" s="5" t="s">
        <v>181</v>
      </c>
      <c r="H14" s="16">
        <v>30.42</v>
      </c>
      <c r="I14" s="17" t="str">
        <f t="shared" si="0"/>
        <v>n/a</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4.3016631737743189</v>
      </c>
      <c r="B20" s="8">
        <f>COUNT(H3:H17)</f>
        <v>12</v>
      </c>
      <c r="C20" s="9">
        <f>IF(B20&lt;2,"n/a",(A20/D20))</f>
        <v>0.14113068155427555</v>
      </c>
      <c r="D20" s="10">
        <f>IFERROR(ROUND(AVERAGE(H3:H17),2),"")</f>
        <v>30.48</v>
      </c>
      <c r="E20" s="15" t="str">
        <f>IFERROR(ROUND(IF(B20&lt;2,"n/a",(IF(C20&lt;=25%,"n/a",AVERAGE(I3:I17)))),2),"n/a")</f>
        <v>n/a</v>
      </c>
      <c r="F20" s="10">
        <f>IFERROR(ROUND(MEDIAN(H3:H17),2),"")</f>
        <v>30.9</v>
      </c>
      <c r="G20" s="11" t="str">
        <f>IFERROR(INDEX(G3:G17,MATCH(H20,H3:H17,0)),"")</f>
        <v>BLAU PAPELARIA</v>
      </c>
      <c r="H20" s="12">
        <f>F3</f>
        <v>23.6</v>
      </c>
    </row>
    <row r="22" spans="1:9" x14ac:dyDescent="0.25">
      <c r="G22" s="13" t="s">
        <v>20</v>
      </c>
      <c r="H22" s="14">
        <f>IF(C20&lt;=25%,D20,MIN(E20:F20))</f>
        <v>30.48</v>
      </c>
    </row>
    <row r="23" spans="1:9" x14ac:dyDescent="0.25">
      <c r="G23" s="13" t="s">
        <v>6</v>
      </c>
      <c r="H23" s="14">
        <f>ROUND(H22,2)*D3</f>
        <v>79248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6">
        <v>23</v>
      </c>
      <c r="B3" s="32" t="s">
        <v>207</v>
      </c>
      <c r="C3" s="34" t="s">
        <v>198</v>
      </c>
      <c r="D3" s="34">
        <v>200</v>
      </c>
      <c r="E3" s="35">
        <f>IF(C20&lt;=25%,D20,MIN(E20:F20))</f>
        <v>67.069999999999993</v>
      </c>
      <c r="F3" s="35">
        <f>MIN(H3:H17)</f>
        <v>53.11</v>
      </c>
      <c r="G3" s="5" t="s">
        <v>208</v>
      </c>
      <c r="H3" s="16">
        <v>71.3</v>
      </c>
      <c r="I3" s="17" t="str">
        <f>IF(H3="","",(IF($C$20&lt;25%,"n/a",IF(H3&lt;=($D$20+$A$20),H3,"Descartado"))))</f>
        <v>n/a</v>
      </c>
    </row>
    <row r="4" spans="1:9" x14ac:dyDescent="0.25">
      <c r="A4" s="36"/>
      <c r="B4" s="33"/>
      <c r="C4" s="34"/>
      <c r="D4" s="34"/>
      <c r="E4" s="35"/>
      <c r="F4" s="35"/>
      <c r="G4" s="5" t="s">
        <v>36</v>
      </c>
      <c r="H4" s="16">
        <v>71.3</v>
      </c>
      <c r="I4" s="17" t="str">
        <f t="shared" ref="I4:I17" si="0">IF(H4="","",(IF($C$20&lt;25%,"n/a",IF(H4&lt;=($D$20+$A$20),H4,"Descartado"))))</f>
        <v>n/a</v>
      </c>
    </row>
    <row r="5" spans="1:9" x14ac:dyDescent="0.25">
      <c r="A5" s="36"/>
      <c r="B5" s="33"/>
      <c r="C5" s="34"/>
      <c r="D5" s="34"/>
      <c r="E5" s="35"/>
      <c r="F5" s="35"/>
      <c r="G5" s="5" t="s">
        <v>209</v>
      </c>
      <c r="H5" s="16">
        <v>86.74</v>
      </c>
      <c r="I5" s="17" t="str">
        <f t="shared" si="0"/>
        <v>n/a</v>
      </c>
    </row>
    <row r="6" spans="1:9" x14ac:dyDescent="0.25">
      <c r="A6" s="36"/>
      <c r="B6" s="33"/>
      <c r="C6" s="34"/>
      <c r="D6" s="34"/>
      <c r="E6" s="35"/>
      <c r="F6" s="35"/>
      <c r="G6" s="5" t="s">
        <v>83</v>
      </c>
      <c r="H6" s="16">
        <v>60.9</v>
      </c>
      <c r="I6" s="17" t="str">
        <f t="shared" si="0"/>
        <v>n/a</v>
      </c>
    </row>
    <row r="7" spans="1:9" x14ac:dyDescent="0.25">
      <c r="A7" s="36"/>
      <c r="B7" s="33"/>
      <c r="C7" s="34"/>
      <c r="D7" s="34"/>
      <c r="E7" s="35"/>
      <c r="F7" s="35"/>
      <c r="G7" s="5" t="s">
        <v>210</v>
      </c>
      <c r="H7" s="16">
        <v>88.87</v>
      </c>
      <c r="I7" s="17" t="str">
        <f t="shared" si="0"/>
        <v>n/a</v>
      </c>
    </row>
    <row r="8" spans="1:9" x14ac:dyDescent="0.25">
      <c r="A8" s="36"/>
      <c r="B8" s="33"/>
      <c r="C8" s="34"/>
      <c r="D8" s="34"/>
      <c r="E8" s="35"/>
      <c r="F8" s="35"/>
      <c r="G8" s="5" t="s">
        <v>211</v>
      </c>
      <c r="H8" s="16">
        <v>53.11</v>
      </c>
      <c r="I8" s="17" t="str">
        <f t="shared" si="0"/>
        <v>n/a</v>
      </c>
    </row>
    <row r="9" spans="1:9" x14ac:dyDescent="0.25">
      <c r="A9" s="36"/>
      <c r="B9" s="33"/>
      <c r="C9" s="34"/>
      <c r="D9" s="34"/>
      <c r="E9" s="35"/>
      <c r="F9" s="35"/>
      <c r="G9" s="5" t="s">
        <v>212</v>
      </c>
      <c r="H9" s="16">
        <v>54</v>
      </c>
      <c r="I9" s="17" t="str">
        <f t="shared" si="0"/>
        <v>n/a</v>
      </c>
    </row>
    <row r="10" spans="1:9" x14ac:dyDescent="0.25">
      <c r="A10" s="36"/>
      <c r="B10" s="33"/>
      <c r="C10" s="34"/>
      <c r="D10" s="34"/>
      <c r="E10" s="35"/>
      <c r="F10" s="35"/>
      <c r="G10" s="5" t="s">
        <v>213</v>
      </c>
      <c r="H10" s="16">
        <v>55.47</v>
      </c>
      <c r="I10" s="17" t="str">
        <f t="shared" si="0"/>
        <v>n/a</v>
      </c>
    </row>
    <row r="11" spans="1:9" x14ac:dyDescent="0.25">
      <c r="A11" s="36"/>
      <c r="B11" s="33"/>
      <c r="C11" s="34"/>
      <c r="D11" s="34"/>
      <c r="E11" s="35"/>
      <c r="F11" s="35"/>
      <c r="G11" s="5" t="s">
        <v>166</v>
      </c>
      <c r="H11" s="16">
        <v>59.99</v>
      </c>
      <c r="I11" s="17" t="str">
        <f t="shared" si="0"/>
        <v>n/a</v>
      </c>
    </row>
    <row r="12" spans="1:9" x14ac:dyDescent="0.25">
      <c r="A12" s="36"/>
      <c r="B12" s="33"/>
      <c r="C12" s="34"/>
      <c r="D12" s="34"/>
      <c r="E12" s="35"/>
      <c r="F12" s="35"/>
      <c r="G12" s="5" t="s">
        <v>70</v>
      </c>
      <c r="H12" s="16">
        <v>69</v>
      </c>
      <c r="I12" s="17" t="str">
        <f t="shared" si="0"/>
        <v>n/a</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12.867363366284538</v>
      </c>
      <c r="B20" s="8">
        <f>COUNT(H3:H17)</f>
        <v>10</v>
      </c>
      <c r="C20" s="9">
        <f>IF(B20&lt;2,"n/a",(A20/D20))</f>
        <v>0.19184975944959803</v>
      </c>
      <c r="D20" s="10">
        <f>IFERROR(ROUND(AVERAGE(H3:H17),2),"")</f>
        <v>67.069999999999993</v>
      </c>
      <c r="E20" s="15" t="str">
        <f>IFERROR(ROUND(IF(B20&lt;2,"n/a",(IF(C20&lt;=25%,"n/a",AVERAGE(I3:I17)))),2),"n/a")</f>
        <v>n/a</v>
      </c>
      <c r="F20" s="10">
        <f>IFERROR(ROUND(MEDIAN(H3:H17),2),"")</f>
        <v>64.95</v>
      </c>
      <c r="G20" s="11" t="str">
        <f>IFERROR(INDEX(G3:G17,MATCH(H20,H3:H17,0)),"")</f>
        <v>SELL PAPER</v>
      </c>
      <c r="H20" s="12">
        <f>F3</f>
        <v>53.11</v>
      </c>
    </row>
    <row r="22" spans="1:9" x14ac:dyDescent="0.25">
      <c r="G22" s="13" t="s">
        <v>20</v>
      </c>
      <c r="H22" s="14">
        <f>IF(C20&lt;=25%,D20,MIN(E20:F20))</f>
        <v>67.069999999999993</v>
      </c>
    </row>
    <row r="23" spans="1:9" x14ac:dyDescent="0.25">
      <c r="G23" s="13" t="s">
        <v>6</v>
      </c>
      <c r="H23" s="14">
        <f>ROUND(H22,2)*D3</f>
        <v>13413.999999999998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6">
        <v>24</v>
      </c>
      <c r="B3" s="32" t="s">
        <v>214</v>
      </c>
      <c r="C3" s="34" t="s">
        <v>7</v>
      </c>
      <c r="D3" s="34">
        <v>40000</v>
      </c>
      <c r="E3" s="35">
        <f>IF(C20&lt;=25%,D20,MIN(E20:F20))</f>
        <v>1.35</v>
      </c>
      <c r="F3" s="35">
        <f>MIN(H3:H17)</f>
        <v>0.75</v>
      </c>
      <c r="G3" s="5" t="s">
        <v>215</v>
      </c>
      <c r="H3" s="16">
        <v>1.35</v>
      </c>
      <c r="I3" s="17">
        <f>IF(H3="","",(IF($C$20&lt;25%,"n/a",IF(H3&lt;=($D$20+$A$20),H3,"Descartado"))))</f>
        <v>1.35</v>
      </c>
    </row>
    <row r="4" spans="1:9" x14ac:dyDescent="0.25">
      <c r="A4" s="36"/>
      <c r="B4" s="33"/>
      <c r="C4" s="34"/>
      <c r="D4" s="34"/>
      <c r="E4" s="35"/>
      <c r="F4" s="35"/>
      <c r="G4" s="5" t="s">
        <v>36</v>
      </c>
      <c r="H4" s="16">
        <v>3.27</v>
      </c>
      <c r="I4" s="17" t="str">
        <f t="shared" ref="I4:I17" si="0">IF(H4="","",(IF($C$20&lt;25%,"n/a",IF(H4&lt;=($D$20+$A$20),H4,"Descartado"))))</f>
        <v>Descartado</v>
      </c>
    </row>
    <row r="5" spans="1:9" x14ac:dyDescent="0.25">
      <c r="A5" s="36"/>
      <c r="B5" s="33"/>
      <c r="C5" s="34"/>
      <c r="D5" s="34"/>
      <c r="E5" s="35"/>
      <c r="F5" s="35"/>
      <c r="G5" s="5" t="s">
        <v>160</v>
      </c>
      <c r="H5" s="16">
        <v>2.4300000000000002</v>
      </c>
      <c r="I5" s="17">
        <f t="shared" si="0"/>
        <v>2.4300000000000002</v>
      </c>
    </row>
    <row r="6" spans="1:9" x14ac:dyDescent="0.25">
      <c r="A6" s="36"/>
      <c r="B6" s="33"/>
      <c r="C6" s="34"/>
      <c r="D6" s="34"/>
      <c r="E6" s="35"/>
      <c r="F6" s="35"/>
      <c r="G6" s="5" t="s">
        <v>216</v>
      </c>
      <c r="H6" s="16">
        <v>0.75</v>
      </c>
      <c r="I6" s="17">
        <f t="shared" si="0"/>
        <v>0.75</v>
      </c>
    </row>
    <row r="7" spans="1:9" x14ac:dyDescent="0.25">
      <c r="A7" s="36"/>
      <c r="B7" s="33"/>
      <c r="C7" s="34"/>
      <c r="D7" s="34"/>
      <c r="E7" s="35"/>
      <c r="F7" s="35"/>
      <c r="G7" s="5" t="s">
        <v>217</v>
      </c>
      <c r="H7" s="16">
        <v>1.1299999999999999</v>
      </c>
      <c r="I7" s="17">
        <f t="shared" si="0"/>
        <v>1.1299999999999999</v>
      </c>
    </row>
    <row r="8" spans="1:9" x14ac:dyDescent="0.25">
      <c r="A8" s="36"/>
      <c r="B8" s="33"/>
      <c r="C8" s="34"/>
      <c r="D8" s="34"/>
      <c r="E8" s="35"/>
      <c r="F8" s="35"/>
      <c r="G8" s="5" t="s">
        <v>218</v>
      </c>
      <c r="H8" s="16">
        <v>1.59</v>
      </c>
      <c r="I8" s="17">
        <f t="shared" si="0"/>
        <v>1.59</v>
      </c>
    </row>
    <row r="9" spans="1:9" x14ac:dyDescent="0.25">
      <c r="A9" s="36"/>
      <c r="B9" s="33"/>
      <c r="C9" s="34"/>
      <c r="D9" s="34"/>
      <c r="E9" s="35"/>
      <c r="F9" s="35"/>
      <c r="G9" s="5" t="s">
        <v>219</v>
      </c>
      <c r="H9" s="16">
        <v>1.18</v>
      </c>
      <c r="I9" s="17">
        <f t="shared" si="0"/>
        <v>1.18</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0.87792233087421789</v>
      </c>
      <c r="B20" s="8">
        <f>COUNT(H3:H17)</f>
        <v>7</v>
      </c>
      <c r="C20" s="9">
        <f>IF(B20&lt;2,"n/a",(A20/D20))</f>
        <v>0.52570199453545985</v>
      </c>
      <c r="D20" s="10">
        <f>IFERROR(ROUND(AVERAGE(H3:H17),2),"")</f>
        <v>1.67</v>
      </c>
      <c r="E20" s="15">
        <f>IFERROR(ROUND(IF(B20&lt;2,"n/a",(IF(C20&lt;=25%,"n/a",AVERAGE(I3:I17)))),2),"n/a")</f>
        <v>1.41</v>
      </c>
      <c r="F20" s="10">
        <f>IFERROR(ROUND(MEDIAN(H3:H17),2),"")</f>
        <v>1.35</v>
      </c>
      <c r="G20" s="11" t="str">
        <f>IFERROR(INDEX(G3:G17,MATCH(H20,H3:H17,0)),"")</f>
        <v>OCEAN B2B</v>
      </c>
      <c r="H20" s="12">
        <f>F3</f>
        <v>0.75</v>
      </c>
    </row>
    <row r="22" spans="1:9" x14ac:dyDescent="0.25">
      <c r="G22" s="13" t="s">
        <v>20</v>
      </c>
      <c r="H22" s="14">
        <f>IF(C20&lt;=25%,D20,MIN(E20:F20))</f>
        <v>1.35</v>
      </c>
    </row>
    <row r="23" spans="1:9" x14ac:dyDescent="0.25">
      <c r="G23" s="13" t="s">
        <v>6</v>
      </c>
      <c r="H23" s="14">
        <f>ROUND(H22,2)*D3</f>
        <v>54000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B3" sqref="B3:B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6">
        <v>25</v>
      </c>
      <c r="B3" s="32" t="s">
        <v>343</v>
      </c>
      <c r="C3" s="34" t="s">
        <v>7</v>
      </c>
      <c r="D3" s="34">
        <v>75000</v>
      </c>
      <c r="E3" s="35">
        <f>IF(C20&lt;=25%,D20,MIN(E20:F20))</f>
        <v>0.39</v>
      </c>
      <c r="F3" s="35">
        <f>MIN(H3:H17)</f>
        <v>0.28999999999999998</v>
      </c>
      <c r="G3" s="5" t="s">
        <v>220</v>
      </c>
      <c r="H3" s="16">
        <v>0.28999999999999998</v>
      </c>
      <c r="I3" s="17" t="str">
        <f>IF(H3="","",(IF($C$20&lt;25%,"n/a",IF(H3&lt;=($D$20+$A$20),H3,"Descartado"))))</f>
        <v>n/a</v>
      </c>
    </row>
    <row r="4" spans="1:9" x14ac:dyDescent="0.25">
      <c r="A4" s="36"/>
      <c r="B4" s="33"/>
      <c r="C4" s="34"/>
      <c r="D4" s="34"/>
      <c r="E4" s="35"/>
      <c r="F4" s="35"/>
      <c r="G4" s="5" t="s">
        <v>221</v>
      </c>
      <c r="H4" s="16">
        <v>0.35</v>
      </c>
      <c r="I4" s="17" t="str">
        <f t="shared" ref="I4:I17" si="0">IF(H4="","",(IF($C$20&lt;25%,"n/a",IF(H4&lt;=($D$20+$A$20),H4,"Descartado"))))</f>
        <v>n/a</v>
      </c>
    </row>
    <row r="5" spans="1:9" x14ac:dyDescent="0.25">
      <c r="A5" s="36"/>
      <c r="B5" s="33"/>
      <c r="C5" s="34"/>
      <c r="D5" s="34"/>
      <c r="E5" s="35"/>
      <c r="F5" s="35"/>
      <c r="G5" s="5" t="s">
        <v>222</v>
      </c>
      <c r="H5" s="16">
        <v>0.36</v>
      </c>
      <c r="I5" s="17" t="str">
        <f t="shared" si="0"/>
        <v>n/a</v>
      </c>
    </row>
    <row r="6" spans="1:9" x14ac:dyDescent="0.25">
      <c r="A6" s="36"/>
      <c r="B6" s="33"/>
      <c r="C6" s="34"/>
      <c r="D6" s="34"/>
      <c r="E6" s="35"/>
      <c r="F6" s="35"/>
      <c r="G6" s="5" t="s">
        <v>78</v>
      </c>
      <c r="H6" s="16">
        <v>0.37</v>
      </c>
      <c r="I6" s="17" t="str">
        <f t="shared" si="0"/>
        <v>n/a</v>
      </c>
    </row>
    <row r="7" spans="1:9" x14ac:dyDescent="0.25">
      <c r="A7" s="36"/>
      <c r="B7" s="33"/>
      <c r="C7" s="34"/>
      <c r="D7" s="34"/>
      <c r="E7" s="35"/>
      <c r="F7" s="35"/>
      <c r="G7" s="5" t="s">
        <v>223</v>
      </c>
      <c r="H7" s="16">
        <v>0.4</v>
      </c>
      <c r="I7" s="17" t="str">
        <f t="shared" si="0"/>
        <v>n/a</v>
      </c>
    </row>
    <row r="8" spans="1:9" x14ac:dyDescent="0.25">
      <c r="A8" s="36"/>
      <c r="B8" s="33"/>
      <c r="C8" s="34"/>
      <c r="D8" s="34"/>
      <c r="E8" s="35"/>
      <c r="F8" s="35"/>
      <c r="G8" s="5" t="s">
        <v>224</v>
      </c>
      <c r="H8" s="16">
        <v>0.4</v>
      </c>
      <c r="I8" s="17" t="str">
        <f t="shared" si="0"/>
        <v>n/a</v>
      </c>
    </row>
    <row r="9" spans="1:9" x14ac:dyDescent="0.25">
      <c r="A9" s="36"/>
      <c r="B9" s="33"/>
      <c r="C9" s="34"/>
      <c r="D9" s="34"/>
      <c r="E9" s="35"/>
      <c r="F9" s="35"/>
      <c r="G9" s="5" t="s">
        <v>225</v>
      </c>
      <c r="H9" s="16">
        <v>0.4</v>
      </c>
      <c r="I9" s="17" t="str">
        <f t="shared" si="0"/>
        <v>n/a</v>
      </c>
    </row>
    <row r="10" spans="1:9" x14ac:dyDescent="0.25">
      <c r="A10" s="36"/>
      <c r="B10" s="33"/>
      <c r="C10" s="34"/>
      <c r="D10" s="34"/>
      <c r="E10" s="35"/>
      <c r="F10" s="35"/>
      <c r="G10" s="5" t="s">
        <v>226</v>
      </c>
      <c r="H10" s="16">
        <v>0.55000000000000004</v>
      </c>
      <c r="I10" s="17" t="str">
        <f t="shared" si="0"/>
        <v>n/a</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7.445036697597357E-2</v>
      </c>
      <c r="B20" s="8">
        <f>COUNT(H3:H17)</f>
        <v>8</v>
      </c>
      <c r="C20" s="9">
        <f>IF(B20&lt;2,"n/a",(A20/D20))</f>
        <v>0.19089837686147068</v>
      </c>
      <c r="D20" s="10">
        <f>IFERROR(ROUND(AVERAGE(H3:H17),2),"")</f>
        <v>0.39</v>
      </c>
      <c r="E20" s="15" t="str">
        <f>IFERROR(ROUND(IF(B20&lt;2,"n/a",(IF(C20&lt;=25%,"n/a",AVERAGE(I3:I17)))),2),"n/a")</f>
        <v>n/a</v>
      </c>
      <c r="F20" s="10">
        <f>IFERROR(ROUND(MEDIAN(H3:H17),2),"")</f>
        <v>0.39</v>
      </c>
      <c r="G20" s="11" t="str">
        <f>IFERROR(INDEX(G3:G17,MATCH(H20,H3:H17,0)),"")</f>
        <v>PACIFIC FLOWERS INDUSTRIA</v>
      </c>
      <c r="H20" s="12">
        <f>F3</f>
        <v>0.28999999999999998</v>
      </c>
    </row>
    <row r="22" spans="1:9" x14ac:dyDescent="0.25">
      <c r="G22" s="13" t="s">
        <v>20</v>
      </c>
      <c r="H22" s="14">
        <f>IF(C20&lt;=25%,D20,MIN(E20:F20))</f>
        <v>0.39</v>
      </c>
    </row>
    <row r="23" spans="1:9" x14ac:dyDescent="0.25">
      <c r="G23" s="13" t="s">
        <v>6</v>
      </c>
      <c r="H23" s="14">
        <f>ROUND(H22,2)*D3</f>
        <v>29250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6">
        <v>26</v>
      </c>
      <c r="B3" s="32" t="s">
        <v>227</v>
      </c>
      <c r="C3" s="34" t="s">
        <v>7</v>
      </c>
      <c r="D3" s="34">
        <v>75000</v>
      </c>
      <c r="E3" s="35">
        <f>IF(C20&lt;=25%,D20,MIN(E20:F20))</f>
        <v>0.18</v>
      </c>
      <c r="F3" s="35">
        <f>MIN(H3:H17)</f>
        <v>0.14000000000000001</v>
      </c>
      <c r="G3" s="5" t="s">
        <v>228</v>
      </c>
      <c r="H3" s="16">
        <v>0.19</v>
      </c>
      <c r="I3" s="17" t="str">
        <f>IF(H3="","",(IF($C$20&lt;25%,"n/a",IF(H3&lt;=($D$20+$A$20),H3,"Descartado"))))</f>
        <v>n/a</v>
      </c>
    </row>
    <row r="4" spans="1:9" x14ac:dyDescent="0.25">
      <c r="A4" s="36"/>
      <c r="B4" s="33"/>
      <c r="C4" s="34"/>
      <c r="D4" s="34"/>
      <c r="E4" s="35"/>
      <c r="F4" s="35"/>
      <c r="G4" s="5" t="s">
        <v>229</v>
      </c>
      <c r="H4" s="16">
        <v>0.16</v>
      </c>
      <c r="I4" s="17" t="str">
        <f t="shared" ref="I4:I17" si="0">IF(H4="","",(IF($C$20&lt;25%,"n/a",IF(H4&lt;=($D$20+$A$20),H4,"Descartado"))))</f>
        <v>n/a</v>
      </c>
    </row>
    <row r="5" spans="1:9" x14ac:dyDescent="0.25">
      <c r="A5" s="36"/>
      <c r="B5" s="33"/>
      <c r="C5" s="34"/>
      <c r="D5" s="34"/>
      <c r="E5" s="35"/>
      <c r="F5" s="35"/>
      <c r="G5" s="5" t="s">
        <v>230</v>
      </c>
      <c r="H5" s="16">
        <v>0.24</v>
      </c>
      <c r="I5" s="17" t="str">
        <f t="shared" si="0"/>
        <v>n/a</v>
      </c>
    </row>
    <row r="6" spans="1:9" x14ac:dyDescent="0.25">
      <c r="A6" s="36"/>
      <c r="B6" s="33"/>
      <c r="C6" s="34"/>
      <c r="D6" s="34"/>
      <c r="E6" s="35"/>
      <c r="F6" s="35"/>
      <c r="G6" s="5" t="s">
        <v>231</v>
      </c>
      <c r="H6" s="16">
        <v>0.18</v>
      </c>
      <c r="I6" s="17" t="str">
        <f t="shared" si="0"/>
        <v>n/a</v>
      </c>
    </row>
    <row r="7" spans="1:9" x14ac:dyDescent="0.25">
      <c r="A7" s="36"/>
      <c r="B7" s="33"/>
      <c r="C7" s="34"/>
      <c r="D7" s="34"/>
      <c r="E7" s="35"/>
      <c r="F7" s="35"/>
      <c r="G7" s="5" t="s">
        <v>232</v>
      </c>
      <c r="H7" s="16">
        <v>0.14000000000000001</v>
      </c>
      <c r="I7" s="17" t="str">
        <f t="shared" si="0"/>
        <v>n/a</v>
      </c>
    </row>
    <row r="8" spans="1:9" x14ac:dyDescent="0.25">
      <c r="A8" s="36"/>
      <c r="B8" s="33"/>
      <c r="C8" s="34"/>
      <c r="D8" s="34"/>
      <c r="E8" s="35"/>
      <c r="F8" s="35"/>
      <c r="G8" s="5" t="s">
        <v>233</v>
      </c>
      <c r="H8" s="16">
        <v>0.18</v>
      </c>
      <c r="I8" s="17" t="str">
        <f t="shared" si="0"/>
        <v>n/a</v>
      </c>
    </row>
    <row r="9" spans="1:9" x14ac:dyDescent="0.25">
      <c r="A9" s="36"/>
      <c r="B9" s="33"/>
      <c r="C9" s="34"/>
      <c r="D9" s="34"/>
      <c r="E9" s="35"/>
      <c r="F9" s="35"/>
      <c r="G9" s="5" t="s">
        <v>234</v>
      </c>
      <c r="H9" s="16">
        <v>0.18</v>
      </c>
      <c r="I9" s="17" t="str">
        <f t="shared" si="0"/>
        <v>n/a</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3.0783421635988493E-2</v>
      </c>
      <c r="B20" s="8">
        <f>COUNT(H3:H17)</f>
        <v>7</v>
      </c>
      <c r="C20" s="9">
        <f>IF(B20&lt;2,"n/a",(A20/D20))</f>
        <v>0.17101900908882497</v>
      </c>
      <c r="D20" s="10">
        <f>IFERROR(ROUND(AVERAGE(H3:H17),2),"")</f>
        <v>0.18</v>
      </c>
      <c r="E20" s="15" t="str">
        <f>IFERROR(ROUND(IF(B20&lt;2,"n/a",(IF(C20&lt;=25%,"n/a",AVERAGE(I3:I17)))),2),"n/a")</f>
        <v>n/a</v>
      </c>
      <c r="F20" s="10">
        <f>IFERROR(ROUND(MEDIAN(H3:H17),2),"")</f>
        <v>0.18</v>
      </c>
      <c r="G20" s="11" t="str">
        <f>IFERROR(INDEX(G3:G17,MATCH(H20,H3:H17,0)),"")</f>
        <v>21.496.459/0001-06 PE 09/2023 Col Mil Belém</v>
      </c>
      <c r="H20" s="12">
        <f>F3</f>
        <v>0.14000000000000001</v>
      </c>
    </row>
    <row r="22" spans="1:9" x14ac:dyDescent="0.25">
      <c r="G22" s="13" t="s">
        <v>20</v>
      </c>
      <c r="H22" s="14">
        <f>IF(C20&lt;=25%,D20,MIN(E20:F20))</f>
        <v>0.18</v>
      </c>
    </row>
    <row r="23" spans="1:9" x14ac:dyDescent="0.25">
      <c r="G23" s="13" t="s">
        <v>6</v>
      </c>
      <c r="H23" s="14">
        <f>ROUND(H22,2)*D3</f>
        <v>13500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7" t="s">
        <v>1</v>
      </c>
      <c r="B2" s="7" t="s">
        <v>2</v>
      </c>
      <c r="C2" s="7" t="s">
        <v>3</v>
      </c>
      <c r="D2" s="7" t="s">
        <v>4</v>
      </c>
      <c r="E2" s="7" t="s">
        <v>9</v>
      </c>
      <c r="F2" s="7" t="s">
        <v>10</v>
      </c>
      <c r="G2" s="7" t="s">
        <v>11</v>
      </c>
      <c r="H2" s="7" t="s">
        <v>12</v>
      </c>
      <c r="I2" s="7" t="s">
        <v>13</v>
      </c>
    </row>
    <row r="3" spans="1:9" x14ac:dyDescent="0.25">
      <c r="A3" s="36">
        <v>27</v>
      </c>
      <c r="B3" s="32" t="s">
        <v>235</v>
      </c>
      <c r="C3" s="34" t="s">
        <v>7</v>
      </c>
      <c r="D3" s="34">
        <v>75000</v>
      </c>
      <c r="E3" s="35">
        <f>IF(C20&lt;=25%,D20,MIN(E20:F20))</f>
        <v>0.43</v>
      </c>
      <c r="F3" s="35">
        <f>MIN(H3:H17)</f>
        <v>0.3</v>
      </c>
      <c r="G3" s="5" t="s">
        <v>236</v>
      </c>
      <c r="H3" s="16">
        <v>0.33</v>
      </c>
      <c r="I3" s="17">
        <f>IF(H3="","",(IF($C$20&lt;25%,"n/a",IF(H3&lt;=($D$20+$A$20),H3,"Descartado"))))</f>
        <v>0.33</v>
      </c>
    </row>
    <row r="4" spans="1:9" x14ac:dyDescent="0.25">
      <c r="A4" s="36"/>
      <c r="B4" s="33"/>
      <c r="C4" s="34"/>
      <c r="D4" s="34"/>
      <c r="E4" s="35"/>
      <c r="F4" s="35"/>
      <c r="G4" s="5" t="s">
        <v>237</v>
      </c>
      <c r="H4" s="16">
        <v>0.3</v>
      </c>
      <c r="I4" s="17">
        <f t="shared" ref="I4:I17" si="0">IF(H4="","",(IF($C$20&lt;25%,"n/a",IF(H4&lt;=($D$20+$A$20),H4,"Descartado"))))</f>
        <v>0.3</v>
      </c>
    </row>
    <row r="5" spans="1:9" x14ac:dyDescent="0.25">
      <c r="A5" s="36"/>
      <c r="B5" s="33"/>
      <c r="C5" s="34"/>
      <c r="D5" s="34"/>
      <c r="E5" s="35"/>
      <c r="F5" s="35"/>
      <c r="G5" s="5" t="s">
        <v>238</v>
      </c>
      <c r="H5" s="16">
        <v>0.47</v>
      </c>
      <c r="I5" s="17">
        <f t="shared" si="0"/>
        <v>0.47</v>
      </c>
    </row>
    <row r="6" spans="1:9" x14ac:dyDescent="0.25">
      <c r="A6" s="36"/>
      <c r="B6" s="33"/>
      <c r="C6" s="34"/>
      <c r="D6" s="34"/>
      <c r="E6" s="35"/>
      <c r="F6" s="35"/>
      <c r="G6" s="5" t="s">
        <v>239</v>
      </c>
      <c r="H6" s="16">
        <v>0.36</v>
      </c>
      <c r="I6" s="17">
        <f t="shared" si="0"/>
        <v>0.36</v>
      </c>
    </row>
    <row r="7" spans="1:9" x14ac:dyDescent="0.25">
      <c r="A7" s="36"/>
      <c r="B7" s="33"/>
      <c r="C7" s="34"/>
      <c r="D7" s="34"/>
      <c r="E7" s="35"/>
      <c r="F7" s="35"/>
      <c r="G7" s="5" t="s">
        <v>240</v>
      </c>
      <c r="H7" s="16">
        <v>0.31</v>
      </c>
      <c r="I7" s="17">
        <f t="shared" si="0"/>
        <v>0.31</v>
      </c>
    </row>
    <row r="8" spans="1:9" x14ac:dyDescent="0.25">
      <c r="A8" s="36"/>
      <c r="B8" s="33"/>
      <c r="C8" s="34"/>
      <c r="D8" s="34"/>
      <c r="E8" s="35"/>
      <c r="F8" s="35"/>
      <c r="G8" s="5" t="s">
        <v>241</v>
      </c>
      <c r="H8" s="16">
        <v>0.47</v>
      </c>
      <c r="I8" s="17">
        <f t="shared" si="0"/>
        <v>0.47</v>
      </c>
    </row>
    <row r="9" spans="1:9" x14ac:dyDescent="0.25">
      <c r="A9" s="36"/>
      <c r="B9" s="33"/>
      <c r="C9" s="34"/>
      <c r="D9" s="34"/>
      <c r="E9" s="35"/>
      <c r="F9" s="35"/>
      <c r="G9" s="5" t="s">
        <v>242</v>
      </c>
      <c r="H9" s="16">
        <v>1</v>
      </c>
      <c r="I9" s="17" t="str">
        <f t="shared" si="0"/>
        <v>Descartado</v>
      </c>
    </row>
    <row r="10" spans="1:9" x14ac:dyDescent="0.25">
      <c r="A10" s="36"/>
      <c r="B10" s="33"/>
      <c r="C10" s="34"/>
      <c r="D10" s="34"/>
      <c r="E10" s="35"/>
      <c r="F10" s="35"/>
      <c r="G10" s="5" t="s">
        <v>243</v>
      </c>
      <c r="H10" s="16">
        <v>0.7</v>
      </c>
      <c r="I10" s="17">
        <f t="shared" si="0"/>
        <v>0.7</v>
      </c>
    </row>
    <row r="11" spans="1:9" x14ac:dyDescent="0.25">
      <c r="A11" s="36"/>
      <c r="B11" s="33"/>
      <c r="C11" s="34"/>
      <c r="D11" s="34"/>
      <c r="E11" s="35"/>
      <c r="F11" s="35"/>
      <c r="G11" s="5" t="s">
        <v>244</v>
      </c>
      <c r="H11" s="16">
        <v>0.38</v>
      </c>
      <c r="I11" s="17">
        <f t="shared" si="0"/>
        <v>0.38</v>
      </c>
    </row>
    <row r="12" spans="1:9" x14ac:dyDescent="0.25">
      <c r="A12" s="36"/>
      <c r="B12" s="33"/>
      <c r="C12" s="34"/>
      <c r="D12" s="34"/>
      <c r="E12" s="35"/>
      <c r="F12" s="35"/>
      <c r="G12" s="5" t="s">
        <v>245</v>
      </c>
      <c r="H12" s="16">
        <v>0.5</v>
      </c>
      <c r="I12" s="17">
        <f t="shared" si="0"/>
        <v>0.5</v>
      </c>
    </row>
    <row r="13" spans="1:9" x14ac:dyDescent="0.25">
      <c r="A13" s="36"/>
      <c r="B13" s="33"/>
      <c r="C13" s="34"/>
      <c r="D13" s="34"/>
      <c r="E13" s="35"/>
      <c r="F13" s="35"/>
      <c r="G13" s="5" t="s">
        <v>246</v>
      </c>
      <c r="H13" s="16">
        <v>0.36</v>
      </c>
      <c r="I13" s="17">
        <f t="shared" si="0"/>
        <v>0.36</v>
      </c>
    </row>
    <row r="14" spans="1:9" x14ac:dyDescent="0.25">
      <c r="A14" s="36"/>
      <c r="B14" s="33"/>
      <c r="C14" s="34"/>
      <c r="D14" s="34"/>
      <c r="E14" s="35"/>
      <c r="F14" s="35"/>
      <c r="G14" s="5" t="s">
        <v>247</v>
      </c>
      <c r="H14" s="16">
        <v>0.38</v>
      </c>
      <c r="I14" s="17">
        <f t="shared" si="0"/>
        <v>0.38</v>
      </c>
    </row>
    <row r="15" spans="1:9" x14ac:dyDescent="0.25">
      <c r="A15" s="36"/>
      <c r="B15" s="33"/>
      <c r="C15" s="34"/>
      <c r="D15" s="34"/>
      <c r="E15" s="35"/>
      <c r="F15" s="35"/>
      <c r="G15" s="5" t="s">
        <v>248</v>
      </c>
      <c r="H15" s="16">
        <v>0.7</v>
      </c>
      <c r="I15" s="17">
        <f t="shared" si="0"/>
        <v>0.7</v>
      </c>
    </row>
    <row r="16" spans="1:9" x14ac:dyDescent="0.25">
      <c r="A16" s="36"/>
      <c r="B16" s="33"/>
      <c r="C16" s="34"/>
      <c r="D16" s="34"/>
      <c r="E16" s="35"/>
      <c r="F16" s="35"/>
      <c r="G16" s="5" t="s">
        <v>249</v>
      </c>
      <c r="H16" s="16">
        <v>0.9</v>
      </c>
      <c r="I16" s="17" t="str">
        <f t="shared" si="0"/>
        <v>Descartado</v>
      </c>
    </row>
    <row r="17" spans="1:9" x14ac:dyDescent="0.25">
      <c r="A17" s="36"/>
      <c r="B17" s="33"/>
      <c r="C17" s="34"/>
      <c r="D17" s="34"/>
      <c r="E17" s="35"/>
      <c r="F17" s="35"/>
      <c r="G17" s="5"/>
      <c r="H17" s="16"/>
      <c r="I17" s="17" t="str">
        <f t="shared" si="0"/>
        <v/>
      </c>
    </row>
    <row r="19" spans="1:9" s="4" customFormat="1" ht="24" x14ac:dyDescent="0.25">
      <c r="A19" s="7" t="s">
        <v>14</v>
      </c>
      <c r="B19" s="7" t="s">
        <v>15</v>
      </c>
      <c r="C19" s="7" t="s">
        <v>25</v>
      </c>
      <c r="D19" s="7" t="s">
        <v>16</v>
      </c>
      <c r="E19" s="7" t="s">
        <v>17</v>
      </c>
      <c r="F19" s="7" t="s">
        <v>18</v>
      </c>
      <c r="G19" s="30" t="s">
        <v>19</v>
      </c>
      <c r="H19" s="30"/>
    </row>
    <row r="20" spans="1:9" x14ac:dyDescent="0.25">
      <c r="A20" s="8">
        <f>IF(B20&lt;2,"n/a",(_xlfn.STDEV.S(H3:H17)))</f>
        <v>0.22582692974444413</v>
      </c>
      <c r="B20" s="8">
        <f>COUNT(H3:H17)</f>
        <v>14</v>
      </c>
      <c r="C20" s="9">
        <f>IF(B20&lt;2,"n/a",(A20/D20))</f>
        <v>0.44279790145969433</v>
      </c>
      <c r="D20" s="10">
        <f>IFERROR(ROUND(AVERAGE(H3:H17),2),"")</f>
        <v>0.51</v>
      </c>
      <c r="E20" s="15">
        <f>IFERROR(ROUND(IF(B20&lt;2,"n/a",(IF(C20&lt;=25%,"n/a",AVERAGE(I3:I17)))),2),"n/a")</f>
        <v>0.44</v>
      </c>
      <c r="F20" s="10">
        <f>IFERROR(ROUND(MEDIAN(H3:H17),2),"")</f>
        <v>0.43</v>
      </c>
      <c r="G20" s="11" t="str">
        <f>IFERROR(INDEX(G3:G17,MATCH(H20,H3:H17,0)),"")</f>
        <v>41.400.310/0001-80 PE 15/2023 CRM MG</v>
      </c>
      <c r="H20" s="12">
        <f>F3</f>
        <v>0.3</v>
      </c>
    </row>
    <row r="22" spans="1:9" x14ac:dyDescent="0.25">
      <c r="G22" s="13" t="s">
        <v>20</v>
      </c>
      <c r="H22" s="14">
        <f>IF(C20&lt;=25%,D20,MIN(E20:F20))</f>
        <v>0.43</v>
      </c>
    </row>
    <row r="23" spans="1:9" x14ac:dyDescent="0.25">
      <c r="G23" s="13" t="s">
        <v>6</v>
      </c>
      <c r="H23" s="14">
        <f>ROUND(H22,2)*D3</f>
        <v>32250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28</v>
      </c>
      <c r="B3" s="32" t="s">
        <v>250</v>
      </c>
      <c r="C3" s="34" t="s">
        <v>7</v>
      </c>
      <c r="D3" s="34">
        <v>200000</v>
      </c>
      <c r="E3" s="35">
        <f>IF(C20&lt;=25%,D20,MIN(E20:F20))</f>
        <v>0.26</v>
      </c>
      <c r="F3" s="35">
        <f>MIN(H3:H17)</f>
        <v>0.09</v>
      </c>
      <c r="G3" s="5" t="s">
        <v>251</v>
      </c>
      <c r="H3" s="16">
        <v>0.09</v>
      </c>
      <c r="I3" s="17">
        <f>IF(H3="","",(IF($C$20&lt;25%,"n/a",IF(H3&lt;=($D$20+$A$20),H3,"Descartado"))))</f>
        <v>0.09</v>
      </c>
    </row>
    <row r="4" spans="1:9" x14ac:dyDescent="0.25">
      <c r="A4" s="36"/>
      <c r="B4" s="33"/>
      <c r="C4" s="34"/>
      <c r="D4" s="34"/>
      <c r="E4" s="35"/>
      <c r="F4" s="35"/>
      <c r="G4" s="5" t="s">
        <v>252</v>
      </c>
      <c r="H4" s="16">
        <v>0.14000000000000001</v>
      </c>
      <c r="I4" s="17">
        <f t="shared" ref="I4:I17" si="0">IF(H4="","",(IF($C$20&lt;25%,"n/a",IF(H4&lt;=($D$20+$A$20),H4,"Descartado"))))</f>
        <v>0.14000000000000001</v>
      </c>
    </row>
    <row r="5" spans="1:9" x14ac:dyDescent="0.25">
      <c r="A5" s="36"/>
      <c r="B5" s="33"/>
      <c r="C5" s="34"/>
      <c r="D5" s="34"/>
      <c r="E5" s="35"/>
      <c r="F5" s="35"/>
      <c r="G5" s="5" t="s">
        <v>253</v>
      </c>
      <c r="H5" s="16">
        <v>0.15</v>
      </c>
      <c r="I5" s="17">
        <f t="shared" si="0"/>
        <v>0.15</v>
      </c>
    </row>
    <row r="6" spans="1:9" x14ac:dyDescent="0.25">
      <c r="A6" s="36"/>
      <c r="B6" s="33"/>
      <c r="C6" s="34"/>
      <c r="D6" s="34"/>
      <c r="E6" s="35"/>
      <c r="F6" s="35"/>
      <c r="G6" s="5" t="s">
        <v>254</v>
      </c>
      <c r="H6" s="16">
        <v>0.26</v>
      </c>
      <c r="I6" s="17">
        <f t="shared" si="0"/>
        <v>0.26</v>
      </c>
    </row>
    <row r="7" spans="1:9" x14ac:dyDescent="0.25">
      <c r="A7" s="36"/>
      <c r="B7" s="33"/>
      <c r="C7" s="34"/>
      <c r="D7" s="34"/>
      <c r="E7" s="35"/>
      <c r="F7" s="35"/>
      <c r="G7" s="5" t="s">
        <v>255</v>
      </c>
      <c r="H7" s="16">
        <v>0.28999999999999998</v>
      </c>
      <c r="I7" s="17">
        <f t="shared" si="0"/>
        <v>0.28999999999999998</v>
      </c>
    </row>
    <row r="8" spans="1:9" x14ac:dyDescent="0.25">
      <c r="A8" s="36"/>
      <c r="B8" s="33"/>
      <c r="C8" s="34"/>
      <c r="D8" s="34"/>
      <c r="E8" s="35"/>
      <c r="F8" s="35"/>
      <c r="G8" s="5" t="s">
        <v>256</v>
      </c>
      <c r="H8" s="16">
        <v>0.67</v>
      </c>
      <c r="I8" s="17">
        <f t="shared" si="0"/>
        <v>0.67</v>
      </c>
    </row>
    <row r="9" spans="1:9" x14ac:dyDescent="0.25">
      <c r="A9" s="36"/>
      <c r="B9" s="33"/>
      <c r="C9" s="34"/>
      <c r="D9" s="34"/>
      <c r="E9" s="35"/>
      <c r="F9" s="35"/>
      <c r="G9" s="5" t="s">
        <v>257</v>
      </c>
      <c r="H9" s="16">
        <v>1.25</v>
      </c>
      <c r="I9" s="17" t="str">
        <f t="shared" si="0"/>
        <v>Descartado</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0.41891583425609041</v>
      </c>
      <c r="B20" s="8">
        <f>COUNT(H3:H17)</f>
        <v>7</v>
      </c>
      <c r="C20" s="9">
        <f>IF(B20&lt;2,"n/a",(A20/D20))</f>
        <v>1.0217459372099766</v>
      </c>
      <c r="D20" s="10">
        <f>IFERROR(ROUND(AVERAGE(H3:H17),2),"")</f>
        <v>0.41</v>
      </c>
      <c r="E20" s="15">
        <f>IFERROR(ROUND(IF(B20&lt;2,"n/a",(IF(C20&lt;=25%,"n/a",AVERAGE(I3:I17)))),2),"n/a")</f>
        <v>0.27</v>
      </c>
      <c r="F20" s="10">
        <f>IFERROR(ROUND(MEDIAN(H3:H17),2),"")</f>
        <v>0.26</v>
      </c>
      <c r="G20" s="11" t="str">
        <f>IFERROR(INDEX(G3:G17,MATCH(H20,H3:H17,0)),"")</f>
        <v>EVL COMÉRCIO IMPORTAÇÃO</v>
      </c>
      <c r="H20" s="12">
        <f>F3</f>
        <v>0.09</v>
      </c>
    </row>
    <row r="22" spans="1:9" x14ac:dyDescent="0.25">
      <c r="G22" s="13" t="s">
        <v>20</v>
      </c>
      <c r="H22" s="14">
        <f>IF(C20&lt;=25%,D20,MIN(E20:F20))</f>
        <v>0.26</v>
      </c>
    </row>
    <row r="23" spans="1:9" x14ac:dyDescent="0.25">
      <c r="G23" s="13" t="s">
        <v>6</v>
      </c>
      <c r="H23" s="14">
        <f>ROUND(H22,2)*D3</f>
        <v>52000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29</v>
      </c>
      <c r="B3" s="32" t="s">
        <v>258</v>
      </c>
      <c r="C3" s="34" t="s">
        <v>7</v>
      </c>
      <c r="D3" s="34">
        <v>15000</v>
      </c>
      <c r="E3" s="35">
        <f>IF(C20&lt;=25%,D20,MIN(E20:F20))</f>
        <v>2.79</v>
      </c>
      <c r="F3" s="35">
        <f>MIN(H3:H17)</f>
        <v>2.4900000000000002</v>
      </c>
      <c r="G3" s="5" t="s">
        <v>259</v>
      </c>
      <c r="H3" s="16">
        <v>2.4900000000000002</v>
      </c>
      <c r="I3" s="17" t="str">
        <f>IF(H3="","",(IF($C$20&lt;25%,"n/a",IF(H3&lt;=($D$20+$A$20),H3,"Descartado"))))</f>
        <v>n/a</v>
      </c>
    </row>
    <row r="4" spans="1:9" x14ac:dyDescent="0.25">
      <c r="A4" s="36"/>
      <c r="B4" s="33"/>
      <c r="C4" s="34"/>
      <c r="D4" s="34"/>
      <c r="E4" s="35"/>
      <c r="F4" s="35"/>
      <c r="G4" s="5" t="s">
        <v>260</v>
      </c>
      <c r="H4" s="16">
        <v>2.5</v>
      </c>
      <c r="I4" s="17" t="str">
        <f t="shared" ref="I4:I17" si="0">IF(H4="","",(IF($C$20&lt;25%,"n/a",IF(H4&lt;=($D$20+$A$20),H4,"Descartado"))))</f>
        <v>n/a</v>
      </c>
    </row>
    <row r="5" spans="1:9" x14ac:dyDescent="0.25">
      <c r="A5" s="36"/>
      <c r="B5" s="33"/>
      <c r="C5" s="34"/>
      <c r="D5" s="34"/>
      <c r="E5" s="35"/>
      <c r="F5" s="35"/>
      <c r="G5" s="5" t="s">
        <v>261</v>
      </c>
      <c r="H5" s="16">
        <v>3.37</v>
      </c>
      <c r="I5" s="17" t="str">
        <f t="shared" si="0"/>
        <v>n/a</v>
      </c>
    </row>
    <row r="6" spans="1:9" x14ac:dyDescent="0.25">
      <c r="A6" s="36"/>
      <c r="B6" s="33"/>
      <c r="C6" s="34"/>
      <c r="D6" s="34"/>
      <c r="E6" s="35"/>
      <c r="F6" s="35"/>
      <c r="G6" s="5"/>
      <c r="H6" s="16"/>
      <c r="I6" s="17" t="str">
        <f t="shared" si="0"/>
        <v/>
      </c>
    </row>
    <row r="7" spans="1:9" x14ac:dyDescent="0.25">
      <c r="A7" s="36"/>
      <c r="B7" s="33"/>
      <c r="C7" s="34"/>
      <c r="D7" s="34"/>
      <c r="E7" s="35"/>
      <c r="F7" s="35"/>
      <c r="G7" s="5"/>
      <c r="H7" s="16"/>
      <c r="I7" s="17" t="str">
        <f t="shared" si="0"/>
        <v/>
      </c>
    </row>
    <row r="8" spans="1:9" x14ac:dyDescent="0.25">
      <c r="A8" s="36"/>
      <c r="B8" s="33"/>
      <c r="C8" s="34"/>
      <c r="D8" s="34"/>
      <c r="E8" s="35"/>
      <c r="F8" s="35"/>
      <c r="G8" s="5"/>
      <c r="H8" s="16"/>
      <c r="I8" s="17" t="str">
        <f t="shared" si="0"/>
        <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0.50520622851795538</v>
      </c>
      <c r="B20" s="8">
        <f>COUNT(H3:H17)</f>
        <v>3</v>
      </c>
      <c r="C20" s="9">
        <f>IF(B20&lt;2,"n/a",(A20/D20))</f>
        <v>0.1810775012609159</v>
      </c>
      <c r="D20" s="10">
        <f>IFERROR(ROUND(AVERAGE(H3:H17),2),"")</f>
        <v>2.79</v>
      </c>
      <c r="E20" s="15" t="str">
        <f>IFERROR(ROUND(IF(B20&lt;2,"n/a",(IF(C20&lt;=25%,"n/a",AVERAGE(I3:I17)))),2),"n/a")</f>
        <v>n/a</v>
      </c>
      <c r="F20" s="10">
        <f>IFERROR(ROUND(MEDIAN(H3:H17),2),"")</f>
        <v>2.5</v>
      </c>
      <c r="G20" s="11" t="str">
        <f>IFERROR(INDEX(G3:G17,MATCH(H20,H3:H17,0)),"")</f>
        <v>07.579.663/0001-51 - PE 001/2023 CRC GO</v>
      </c>
      <c r="H20" s="12">
        <f>F3</f>
        <v>2.4900000000000002</v>
      </c>
    </row>
    <row r="22" spans="1:9" x14ac:dyDescent="0.25">
      <c r="G22" s="13" t="s">
        <v>20</v>
      </c>
      <c r="H22" s="14">
        <f>IF(C20&lt;=25%,D20,MIN(E20:F20))</f>
        <v>2.79</v>
      </c>
    </row>
    <row r="23" spans="1:9" x14ac:dyDescent="0.25">
      <c r="G23" s="13" t="s">
        <v>6</v>
      </c>
      <c r="H23" s="14">
        <f>ROUND(H22,2)*D3</f>
        <v>41850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3</v>
      </c>
      <c r="B3" s="32" t="s">
        <v>49</v>
      </c>
      <c r="C3" s="34" t="s">
        <v>39</v>
      </c>
      <c r="D3" s="34">
        <v>2000</v>
      </c>
      <c r="E3" s="35">
        <f>IF(C20&lt;=25%,D20,MIN(E20:F20))</f>
        <v>24.46</v>
      </c>
      <c r="F3" s="35">
        <f>MIN(H3:H17)</f>
        <v>10.85</v>
      </c>
      <c r="G3" s="5" t="s">
        <v>50</v>
      </c>
      <c r="H3" s="16">
        <v>29.6</v>
      </c>
      <c r="I3" s="17">
        <f>IF(H3="","",(IF($C$20&lt;25%,"n/a",IF(H3&lt;=($D$20+$A$20),H3,"Descartado"))))</f>
        <v>29.6</v>
      </c>
    </row>
    <row r="4" spans="1:9" x14ac:dyDescent="0.25">
      <c r="A4" s="36"/>
      <c r="B4" s="33"/>
      <c r="C4" s="34"/>
      <c r="D4" s="34"/>
      <c r="E4" s="35"/>
      <c r="F4" s="35"/>
      <c r="G4" s="5" t="s">
        <v>51</v>
      </c>
      <c r="H4" s="16">
        <v>17.05</v>
      </c>
      <c r="I4" s="17">
        <f t="shared" ref="I4:I17" si="0">IF(H4="","",(IF($C$20&lt;25%,"n/a",IF(H4&lt;=($D$20+$A$20),H4,"Descartado"))))</f>
        <v>17.05</v>
      </c>
    </row>
    <row r="5" spans="1:9" x14ac:dyDescent="0.25">
      <c r="A5" s="36"/>
      <c r="B5" s="33"/>
      <c r="C5" s="34"/>
      <c r="D5" s="34"/>
      <c r="E5" s="35"/>
      <c r="F5" s="35"/>
      <c r="G5" s="5" t="s">
        <v>52</v>
      </c>
      <c r="H5" s="16">
        <v>28.8</v>
      </c>
      <c r="I5" s="17">
        <f t="shared" si="0"/>
        <v>28.8</v>
      </c>
    </row>
    <row r="6" spans="1:9" x14ac:dyDescent="0.25">
      <c r="A6" s="36"/>
      <c r="B6" s="33"/>
      <c r="C6" s="34"/>
      <c r="D6" s="34"/>
      <c r="E6" s="35"/>
      <c r="F6" s="35"/>
      <c r="G6" s="5" t="s">
        <v>36</v>
      </c>
      <c r="H6" s="16">
        <v>29.6</v>
      </c>
      <c r="I6" s="17">
        <f t="shared" si="0"/>
        <v>29.6</v>
      </c>
    </row>
    <row r="7" spans="1:9" x14ac:dyDescent="0.25">
      <c r="A7" s="36"/>
      <c r="B7" s="33"/>
      <c r="C7" s="34"/>
      <c r="D7" s="34"/>
      <c r="E7" s="35"/>
      <c r="F7" s="35"/>
      <c r="G7" s="5" t="s">
        <v>53</v>
      </c>
      <c r="H7" s="16">
        <v>27.95</v>
      </c>
      <c r="I7" s="17">
        <f t="shared" si="0"/>
        <v>27.95</v>
      </c>
    </row>
    <row r="8" spans="1:9" x14ac:dyDescent="0.25">
      <c r="A8" s="36"/>
      <c r="B8" s="33"/>
      <c r="C8" s="34"/>
      <c r="D8" s="34"/>
      <c r="E8" s="35"/>
      <c r="F8" s="35"/>
      <c r="G8" s="5" t="s">
        <v>54</v>
      </c>
      <c r="H8" s="16">
        <v>31.91</v>
      </c>
      <c r="I8" s="17">
        <f t="shared" si="0"/>
        <v>31.91</v>
      </c>
    </row>
    <row r="9" spans="1:9" x14ac:dyDescent="0.25">
      <c r="A9" s="36"/>
      <c r="B9" s="33"/>
      <c r="C9" s="34"/>
      <c r="D9" s="34"/>
      <c r="E9" s="35"/>
      <c r="F9" s="35"/>
      <c r="G9" s="5" t="s">
        <v>55</v>
      </c>
      <c r="H9" s="16">
        <v>19.899999999999999</v>
      </c>
      <c r="I9" s="17">
        <f t="shared" si="0"/>
        <v>19.899999999999999</v>
      </c>
    </row>
    <row r="10" spans="1:9" x14ac:dyDescent="0.25">
      <c r="A10" s="36"/>
      <c r="B10" s="33"/>
      <c r="C10" s="34"/>
      <c r="D10" s="34"/>
      <c r="E10" s="35"/>
      <c r="F10" s="35"/>
      <c r="G10" s="5" t="s">
        <v>56</v>
      </c>
      <c r="H10" s="16">
        <v>10.85</v>
      </c>
      <c r="I10" s="17">
        <f t="shared" si="0"/>
        <v>10.85</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7.5620400686587299</v>
      </c>
      <c r="B20" s="8">
        <f>COUNT(H3:H17)</f>
        <v>8</v>
      </c>
      <c r="C20" s="9">
        <f>IF(B20&lt;2,"n/a",(A20/D20))</f>
        <v>0.309159446797168</v>
      </c>
      <c r="D20" s="10">
        <f>IFERROR(ROUND(AVERAGE(H3:H17),2),"")</f>
        <v>24.46</v>
      </c>
      <c r="E20" s="15">
        <f>IFERROR(ROUND(IF(B20&lt;2,"n/a",(IF(C20&lt;=25%,"n/a",AVERAGE(I3:I17)))),2),"n/a")</f>
        <v>24.46</v>
      </c>
      <c r="F20" s="10">
        <f>IFERROR(ROUND(MEDIAN(H3:H17),2),"")</f>
        <v>28.38</v>
      </c>
      <c r="G20" s="11" t="str">
        <f>IFERROR(INDEX(G3:G17,MATCH(H20,H3:H17,0)),"")</f>
        <v>JR INTERMEDIAÇÕES COMERCIAIS</v>
      </c>
      <c r="H20" s="12">
        <f>F3</f>
        <v>10.85</v>
      </c>
    </row>
    <row r="22" spans="1:9" x14ac:dyDescent="0.25">
      <c r="G22" s="13" t="s">
        <v>20</v>
      </c>
      <c r="H22" s="14">
        <f>IF(C20&lt;=25%,D20,MIN(E20:F20))</f>
        <v>24.46</v>
      </c>
    </row>
    <row r="23" spans="1:9" x14ac:dyDescent="0.25">
      <c r="G23" s="13" t="s">
        <v>6</v>
      </c>
      <c r="H23" s="14">
        <f>ROUND(H22,2)*D3</f>
        <v>48920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30</v>
      </c>
      <c r="B3" s="32" t="s">
        <v>262</v>
      </c>
      <c r="C3" s="34" t="s">
        <v>7</v>
      </c>
      <c r="D3" s="34">
        <v>4000</v>
      </c>
      <c r="E3" s="35">
        <f>IF(C20&lt;=25%,D20,MIN(E20:F20))</f>
        <v>19.91</v>
      </c>
      <c r="F3" s="35">
        <f>MIN(H3:H17)</f>
        <v>9.89</v>
      </c>
      <c r="G3" s="5" t="s">
        <v>263</v>
      </c>
      <c r="H3" s="16">
        <v>9.9700000000000006</v>
      </c>
      <c r="I3" s="17">
        <f>IF(H3="","",(IF($C$20&lt;25%,"n/a",IF(H3&lt;=($D$20+$A$20),H3,"Descartado"))))</f>
        <v>9.9700000000000006</v>
      </c>
    </row>
    <row r="4" spans="1:9" x14ac:dyDescent="0.25">
      <c r="A4" s="36"/>
      <c r="B4" s="33"/>
      <c r="C4" s="34"/>
      <c r="D4" s="34"/>
      <c r="E4" s="35"/>
      <c r="F4" s="35"/>
      <c r="G4" s="5" t="s">
        <v>264</v>
      </c>
      <c r="H4" s="16">
        <v>9.89</v>
      </c>
      <c r="I4" s="17">
        <f t="shared" ref="I4:I17" si="0">IF(H4="","",(IF($C$20&lt;25%,"n/a",IF(H4&lt;=($D$20+$A$20),H4,"Descartado"))))</f>
        <v>9.89</v>
      </c>
    </row>
    <row r="5" spans="1:9" x14ac:dyDescent="0.25">
      <c r="A5" s="36"/>
      <c r="B5" s="33"/>
      <c r="C5" s="34"/>
      <c r="D5" s="34"/>
      <c r="E5" s="35"/>
      <c r="F5" s="35"/>
      <c r="G5" s="5" t="s">
        <v>265</v>
      </c>
      <c r="H5" s="16">
        <v>10.5</v>
      </c>
      <c r="I5" s="17">
        <f t="shared" si="0"/>
        <v>10.5</v>
      </c>
    </row>
    <row r="6" spans="1:9" x14ac:dyDescent="0.25">
      <c r="A6" s="36"/>
      <c r="B6" s="33"/>
      <c r="C6" s="34"/>
      <c r="D6" s="34"/>
      <c r="E6" s="35"/>
      <c r="F6" s="35"/>
      <c r="G6" s="5" t="s">
        <v>266</v>
      </c>
      <c r="H6" s="16">
        <v>14.58</v>
      </c>
      <c r="I6" s="17">
        <f t="shared" si="0"/>
        <v>14.58</v>
      </c>
    </row>
    <row r="7" spans="1:9" x14ac:dyDescent="0.25">
      <c r="A7" s="36"/>
      <c r="B7" s="33"/>
      <c r="C7" s="34"/>
      <c r="D7" s="34"/>
      <c r="E7" s="35"/>
      <c r="F7" s="35"/>
      <c r="G7" s="5" t="s">
        <v>267</v>
      </c>
      <c r="H7" s="16">
        <v>14.6</v>
      </c>
      <c r="I7" s="17">
        <f t="shared" si="0"/>
        <v>14.6</v>
      </c>
    </row>
    <row r="8" spans="1:9" x14ac:dyDescent="0.25">
      <c r="A8" s="36"/>
      <c r="B8" s="33"/>
      <c r="C8" s="34"/>
      <c r="D8" s="34"/>
      <c r="E8" s="35"/>
      <c r="F8" s="35"/>
      <c r="G8" s="5" t="s">
        <v>268</v>
      </c>
      <c r="H8" s="16">
        <v>32</v>
      </c>
      <c r="I8" s="17">
        <f t="shared" si="0"/>
        <v>32</v>
      </c>
    </row>
    <row r="9" spans="1:9" x14ac:dyDescent="0.25">
      <c r="A9" s="36"/>
      <c r="B9" s="33"/>
      <c r="C9" s="34"/>
      <c r="D9" s="34"/>
      <c r="E9" s="35"/>
      <c r="F9" s="35"/>
      <c r="G9" s="5" t="s">
        <v>269</v>
      </c>
      <c r="H9" s="16">
        <v>26</v>
      </c>
      <c r="I9" s="17">
        <f t="shared" si="0"/>
        <v>26</v>
      </c>
    </row>
    <row r="10" spans="1:9" x14ac:dyDescent="0.25">
      <c r="A10" s="36"/>
      <c r="B10" s="33"/>
      <c r="C10" s="34"/>
      <c r="D10" s="34"/>
      <c r="E10" s="35"/>
      <c r="F10" s="35"/>
      <c r="G10" s="5" t="s">
        <v>270</v>
      </c>
      <c r="H10" s="16">
        <v>22.01</v>
      </c>
      <c r="I10" s="17">
        <f t="shared" si="0"/>
        <v>22.01</v>
      </c>
    </row>
    <row r="11" spans="1:9" x14ac:dyDescent="0.25">
      <c r="A11" s="36"/>
      <c r="B11" s="33"/>
      <c r="C11" s="34"/>
      <c r="D11" s="34"/>
      <c r="E11" s="35"/>
      <c r="F11" s="35"/>
      <c r="G11" s="5" t="s">
        <v>271</v>
      </c>
      <c r="H11" s="16">
        <v>26.5</v>
      </c>
      <c r="I11" s="17">
        <f t="shared" si="0"/>
        <v>26.5</v>
      </c>
    </row>
    <row r="12" spans="1:9" x14ac:dyDescent="0.25">
      <c r="A12" s="36"/>
      <c r="B12" s="33"/>
      <c r="C12" s="34"/>
      <c r="D12" s="34"/>
      <c r="E12" s="35"/>
      <c r="F12" s="35"/>
      <c r="G12" s="5" t="s">
        <v>272</v>
      </c>
      <c r="H12" s="16">
        <v>26.5</v>
      </c>
      <c r="I12" s="17">
        <f t="shared" si="0"/>
        <v>26.5</v>
      </c>
    </row>
    <row r="13" spans="1:9" x14ac:dyDescent="0.25">
      <c r="A13" s="36"/>
      <c r="B13" s="33"/>
      <c r="C13" s="34"/>
      <c r="D13" s="34"/>
      <c r="E13" s="35"/>
      <c r="F13" s="35"/>
      <c r="G13" s="5" t="s">
        <v>273</v>
      </c>
      <c r="H13" s="16">
        <v>26.51</v>
      </c>
      <c r="I13" s="17">
        <f t="shared" si="0"/>
        <v>26.51</v>
      </c>
    </row>
    <row r="14" spans="1:9" x14ac:dyDescent="0.25">
      <c r="A14" s="36"/>
      <c r="B14" s="33"/>
      <c r="C14" s="34"/>
      <c r="D14" s="34"/>
      <c r="E14" s="35"/>
      <c r="F14" s="35"/>
      <c r="G14" s="5" t="s">
        <v>274</v>
      </c>
      <c r="H14" s="16">
        <v>60</v>
      </c>
      <c r="I14" s="17" t="str">
        <f t="shared" si="0"/>
        <v>Descartado</v>
      </c>
    </row>
    <row r="15" spans="1:9" x14ac:dyDescent="0.25">
      <c r="A15" s="36"/>
      <c r="B15" s="33"/>
      <c r="C15" s="34"/>
      <c r="D15" s="34"/>
      <c r="E15" s="35"/>
      <c r="F15" s="35"/>
      <c r="G15" s="5" t="s">
        <v>275</v>
      </c>
      <c r="H15" s="16">
        <v>75</v>
      </c>
      <c r="I15" s="17" t="str">
        <f t="shared" si="0"/>
        <v>Descartado</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19.593705033073181</v>
      </c>
      <c r="B20" s="8">
        <f>COUNT(H3:H17)</f>
        <v>13</v>
      </c>
      <c r="C20" s="9">
        <f>IF(B20&lt;2,"n/a",(A20/D20))</f>
        <v>0.71929901002471297</v>
      </c>
      <c r="D20" s="10">
        <f>IFERROR(ROUND(AVERAGE(H3:H17),2),"")</f>
        <v>27.24</v>
      </c>
      <c r="E20" s="15">
        <f>IFERROR(ROUND(IF(B20&lt;2,"n/a",(IF(C20&lt;=25%,"n/a",AVERAGE(I3:I17)))),2),"n/a")</f>
        <v>19.91</v>
      </c>
      <c r="F20" s="10">
        <f>IFERROR(ROUND(MEDIAN(H3:H17),2),"")</f>
        <v>26</v>
      </c>
      <c r="G20" s="11" t="str">
        <f>IFERROR(INDEX(G3:G17,MATCH(H20,H3:H17,0)),"")</f>
        <v>09.022.398/0001-31 PE 17/2023 TRE AM</v>
      </c>
      <c r="H20" s="12">
        <f>F3</f>
        <v>9.89</v>
      </c>
    </row>
    <row r="22" spans="1:9" x14ac:dyDescent="0.25">
      <c r="G22" s="13" t="s">
        <v>20</v>
      </c>
      <c r="H22" s="14">
        <f>IF(C20&lt;=25%,D20,MIN(E20:F20))</f>
        <v>19.91</v>
      </c>
    </row>
    <row r="23" spans="1:9" x14ac:dyDescent="0.25">
      <c r="G23" s="13" t="s">
        <v>6</v>
      </c>
      <c r="H23" s="14">
        <f>ROUND(H22,2)*D3</f>
        <v>79640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31</v>
      </c>
      <c r="B3" s="32" t="s">
        <v>276</v>
      </c>
      <c r="C3" s="34" t="s">
        <v>7</v>
      </c>
      <c r="D3" s="34">
        <v>9000</v>
      </c>
      <c r="E3" s="35">
        <f>IF(C20&lt;=25%,D20,MIN(E20:F20))</f>
        <v>8.4</v>
      </c>
      <c r="F3" s="35">
        <f>MIN(H3:H17)</f>
        <v>2.94</v>
      </c>
      <c r="G3" s="5" t="s">
        <v>35</v>
      </c>
      <c r="H3" s="16">
        <v>2.94</v>
      </c>
      <c r="I3" s="17">
        <f>IF(H3="","",(IF($C$20&lt;25%,"n/a",IF(H3&lt;=($D$20+$A$20),H3,"Descartado"))))</f>
        <v>2.94</v>
      </c>
    </row>
    <row r="4" spans="1:9" x14ac:dyDescent="0.25">
      <c r="A4" s="36"/>
      <c r="B4" s="33"/>
      <c r="C4" s="34"/>
      <c r="D4" s="34"/>
      <c r="E4" s="35"/>
      <c r="F4" s="35"/>
      <c r="G4" s="5" t="s">
        <v>204</v>
      </c>
      <c r="H4" s="16">
        <v>4.76</v>
      </c>
      <c r="I4" s="17">
        <f t="shared" ref="I4:I17" si="0">IF(H4="","",(IF($C$20&lt;25%,"n/a",IF(H4&lt;=($D$20+$A$20),H4,"Descartado"))))</f>
        <v>4.76</v>
      </c>
    </row>
    <row r="5" spans="1:9" x14ac:dyDescent="0.25">
      <c r="A5" s="36"/>
      <c r="B5" s="33"/>
      <c r="C5" s="34"/>
      <c r="D5" s="34"/>
      <c r="E5" s="35"/>
      <c r="F5" s="35"/>
      <c r="G5" s="5" t="s">
        <v>277</v>
      </c>
      <c r="H5" s="16">
        <v>9.99</v>
      </c>
      <c r="I5" s="17">
        <f t="shared" si="0"/>
        <v>9.99</v>
      </c>
    </row>
    <row r="6" spans="1:9" x14ac:dyDescent="0.25">
      <c r="A6" s="36"/>
      <c r="B6" s="33"/>
      <c r="C6" s="34"/>
      <c r="D6" s="34"/>
      <c r="E6" s="35"/>
      <c r="F6" s="35"/>
      <c r="G6" s="5" t="s">
        <v>36</v>
      </c>
      <c r="H6" s="16">
        <v>12.9</v>
      </c>
      <c r="I6" s="17">
        <f t="shared" si="0"/>
        <v>12.9</v>
      </c>
    </row>
    <row r="7" spans="1:9" x14ac:dyDescent="0.25">
      <c r="A7" s="36"/>
      <c r="B7" s="33"/>
      <c r="C7" s="34"/>
      <c r="D7" s="34"/>
      <c r="E7" s="35"/>
      <c r="F7" s="35"/>
      <c r="G7" s="5" t="s">
        <v>278</v>
      </c>
      <c r="H7" s="16">
        <v>3.91</v>
      </c>
      <c r="I7" s="17">
        <f t="shared" si="0"/>
        <v>3.91</v>
      </c>
    </row>
    <row r="8" spans="1:9" x14ac:dyDescent="0.25">
      <c r="A8" s="36"/>
      <c r="B8" s="33"/>
      <c r="C8" s="34"/>
      <c r="D8" s="34"/>
      <c r="E8" s="35"/>
      <c r="F8" s="35"/>
      <c r="G8" s="5" t="s">
        <v>50</v>
      </c>
      <c r="H8" s="16">
        <v>12.07</v>
      </c>
      <c r="I8" s="17">
        <f t="shared" si="0"/>
        <v>12.07</v>
      </c>
    </row>
    <row r="9" spans="1:9" x14ac:dyDescent="0.25">
      <c r="A9" s="36"/>
      <c r="B9" s="33"/>
      <c r="C9" s="34"/>
      <c r="D9" s="34"/>
      <c r="E9" s="35"/>
      <c r="F9" s="35"/>
      <c r="G9" s="5" t="s">
        <v>279</v>
      </c>
      <c r="H9" s="16">
        <v>3.8</v>
      </c>
      <c r="I9" s="17">
        <f t="shared" si="0"/>
        <v>3.8</v>
      </c>
    </row>
    <row r="10" spans="1:9" x14ac:dyDescent="0.25">
      <c r="A10" s="36"/>
      <c r="B10" s="33"/>
      <c r="C10" s="34"/>
      <c r="D10" s="34"/>
      <c r="E10" s="35"/>
      <c r="F10" s="35"/>
      <c r="G10" s="5" t="s">
        <v>266</v>
      </c>
      <c r="H10" s="16">
        <v>3.89</v>
      </c>
      <c r="I10" s="17">
        <f t="shared" si="0"/>
        <v>3.89</v>
      </c>
    </row>
    <row r="11" spans="1:9" x14ac:dyDescent="0.25">
      <c r="A11" s="36"/>
      <c r="B11" s="33"/>
      <c r="C11" s="34"/>
      <c r="D11" s="34"/>
      <c r="E11" s="35"/>
      <c r="F11" s="35"/>
      <c r="G11" s="5" t="s">
        <v>265</v>
      </c>
      <c r="H11" s="16">
        <v>6.9</v>
      </c>
      <c r="I11" s="17">
        <f t="shared" si="0"/>
        <v>6.9</v>
      </c>
    </row>
    <row r="12" spans="1:9" x14ac:dyDescent="0.25">
      <c r="A12" s="36"/>
      <c r="B12" s="33"/>
      <c r="C12" s="34"/>
      <c r="D12" s="34"/>
      <c r="E12" s="35"/>
      <c r="F12" s="35"/>
      <c r="G12" s="5" t="s">
        <v>280</v>
      </c>
      <c r="H12" s="16">
        <v>7.79</v>
      </c>
      <c r="I12" s="17">
        <f t="shared" si="0"/>
        <v>7.79</v>
      </c>
    </row>
    <row r="13" spans="1:9" x14ac:dyDescent="0.25">
      <c r="A13" s="36"/>
      <c r="B13" s="33"/>
      <c r="C13" s="34"/>
      <c r="D13" s="34"/>
      <c r="E13" s="35"/>
      <c r="F13" s="35"/>
      <c r="G13" s="5" t="s">
        <v>267</v>
      </c>
      <c r="H13" s="16">
        <v>8.4</v>
      </c>
      <c r="I13" s="17">
        <f t="shared" si="0"/>
        <v>8.4</v>
      </c>
    </row>
    <row r="14" spans="1:9" x14ac:dyDescent="0.25">
      <c r="A14" s="36"/>
      <c r="B14" s="33"/>
      <c r="C14" s="34"/>
      <c r="D14" s="34"/>
      <c r="E14" s="35"/>
      <c r="F14" s="35"/>
      <c r="G14" s="5" t="s">
        <v>272</v>
      </c>
      <c r="H14" s="16">
        <v>16.600000000000001</v>
      </c>
      <c r="I14" s="17">
        <f t="shared" si="0"/>
        <v>16.600000000000001</v>
      </c>
    </row>
    <row r="15" spans="1:9" x14ac:dyDescent="0.25">
      <c r="A15" s="36"/>
      <c r="B15" s="33"/>
      <c r="C15" s="34"/>
      <c r="D15" s="34"/>
      <c r="E15" s="35"/>
      <c r="F15" s="35"/>
      <c r="G15" s="5" t="s">
        <v>281</v>
      </c>
      <c r="H15" s="16">
        <v>16.670000000000002</v>
      </c>
      <c r="I15" s="17">
        <f t="shared" si="0"/>
        <v>16.670000000000002</v>
      </c>
    </row>
    <row r="16" spans="1:9" x14ac:dyDescent="0.25">
      <c r="A16" s="36"/>
      <c r="B16" s="33"/>
      <c r="C16" s="34"/>
      <c r="D16" s="34"/>
      <c r="E16" s="35"/>
      <c r="F16" s="35"/>
      <c r="G16" s="5" t="s">
        <v>282</v>
      </c>
      <c r="H16" s="16">
        <v>25</v>
      </c>
      <c r="I16" s="17" t="str">
        <f t="shared" si="0"/>
        <v>Descartado</v>
      </c>
    </row>
    <row r="17" spans="1:9" x14ac:dyDescent="0.25">
      <c r="A17" s="36"/>
      <c r="B17" s="33"/>
      <c r="C17" s="34"/>
      <c r="D17" s="34"/>
      <c r="E17" s="35"/>
      <c r="F17" s="35"/>
      <c r="G17" s="5" t="s">
        <v>283</v>
      </c>
      <c r="H17" s="16">
        <v>25.9</v>
      </c>
      <c r="I17" s="17" t="str">
        <f t="shared" si="0"/>
        <v>Descartado</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7.4494584654571625</v>
      </c>
      <c r="B20" s="8">
        <f>COUNT(H3:H17)</f>
        <v>15</v>
      </c>
      <c r="C20" s="9">
        <f>IF(B20&lt;2,"n/a",(A20/D20))</f>
        <v>0.69168602279082292</v>
      </c>
      <c r="D20" s="10">
        <f>IFERROR(ROUND(AVERAGE(H3:H17),2),"")</f>
        <v>10.77</v>
      </c>
      <c r="E20" s="15">
        <f>IFERROR(ROUND(IF(B20&lt;2,"n/a",(IF(C20&lt;=25%,"n/a",AVERAGE(I3:I17)))),2),"n/a")</f>
        <v>8.51</v>
      </c>
      <c r="F20" s="10">
        <f>IFERROR(ROUND(MEDIAN(H3:H17),2),"")</f>
        <v>8.4</v>
      </c>
      <c r="G20" s="11" t="str">
        <f>IFERROR(INDEX(G3:G17,MATCH(H20,H3:H17,0)),"")</f>
        <v>KABUM</v>
      </c>
      <c r="H20" s="12">
        <f>F3</f>
        <v>2.94</v>
      </c>
    </row>
    <row r="22" spans="1:9" x14ac:dyDescent="0.25">
      <c r="G22" s="13" t="s">
        <v>20</v>
      </c>
      <c r="H22" s="14">
        <f>IF(C20&lt;=25%,D20,MIN(E20:F20))</f>
        <v>8.4</v>
      </c>
    </row>
    <row r="23" spans="1:9" x14ac:dyDescent="0.25">
      <c r="G23" s="13" t="s">
        <v>6</v>
      </c>
      <c r="H23" s="14">
        <f>ROUND(H22,2)*D3</f>
        <v>75600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32</v>
      </c>
      <c r="B3" s="32" t="s">
        <v>284</v>
      </c>
      <c r="C3" s="34" t="s">
        <v>7</v>
      </c>
      <c r="D3" s="34">
        <v>5000</v>
      </c>
      <c r="E3" s="35">
        <f>IF(C20&lt;=25%,D20,MIN(E20:F20))</f>
        <v>39.479999999999997</v>
      </c>
      <c r="F3" s="35">
        <f>MIN(H3:H17)</f>
        <v>37.9</v>
      </c>
      <c r="G3" s="5" t="s">
        <v>285</v>
      </c>
      <c r="H3" s="16">
        <v>37.9</v>
      </c>
      <c r="I3" s="17" t="str">
        <f>IF(H3="","",(IF($C$20&lt;25%,"n/a",IF(H3&lt;=($D$20+$A$20),H3,"Descartado"))))</f>
        <v>n/a</v>
      </c>
    </row>
    <row r="4" spans="1:9" x14ac:dyDescent="0.25">
      <c r="A4" s="36"/>
      <c r="B4" s="33"/>
      <c r="C4" s="34"/>
      <c r="D4" s="34"/>
      <c r="E4" s="35"/>
      <c r="F4" s="35"/>
      <c r="G4" s="5" t="s">
        <v>286</v>
      </c>
      <c r="H4" s="16">
        <v>38</v>
      </c>
      <c r="I4" s="17" t="str">
        <f t="shared" ref="I4:I17" si="0">IF(H4="","",(IF($C$20&lt;25%,"n/a",IF(H4&lt;=($D$20+$A$20),H4,"Descartado"))))</f>
        <v>n/a</v>
      </c>
    </row>
    <row r="5" spans="1:9" x14ac:dyDescent="0.25">
      <c r="A5" s="36"/>
      <c r="B5" s="33"/>
      <c r="C5" s="34"/>
      <c r="D5" s="34"/>
      <c r="E5" s="35"/>
      <c r="F5" s="35"/>
      <c r="G5" s="5" t="s">
        <v>287</v>
      </c>
      <c r="H5" s="16">
        <v>40</v>
      </c>
      <c r="I5" s="17" t="str">
        <f t="shared" si="0"/>
        <v>n/a</v>
      </c>
    </row>
    <row r="6" spans="1:9" x14ac:dyDescent="0.25">
      <c r="A6" s="36"/>
      <c r="B6" s="33"/>
      <c r="C6" s="34"/>
      <c r="D6" s="34"/>
      <c r="E6" s="35"/>
      <c r="F6" s="35"/>
      <c r="G6" s="5" t="s">
        <v>288</v>
      </c>
      <c r="H6" s="16">
        <v>42</v>
      </c>
      <c r="I6" s="17" t="str">
        <f t="shared" si="0"/>
        <v>n/a</v>
      </c>
    </row>
    <row r="7" spans="1:9" x14ac:dyDescent="0.25">
      <c r="A7" s="36"/>
      <c r="B7" s="33"/>
      <c r="C7" s="34"/>
      <c r="D7" s="34"/>
      <c r="E7" s="35"/>
      <c r="F7" s="35"/>
      <c r="G7" s="5"/>
      <c r="H7" s="16"/>
      <c r="I7" s="17" t="str">
        <f t="shared" si="0"/>
        <v/>
      </c>
    </row>
    <row r="8" spans="1:9" x14ac:dyDescent="0.25">
      <c r="A8" s="36"/>
      <c r="B8" s="33"/>
      <c r="C8" s="34"/>
      <c r="D8" s="34"/>
      <c r="E8" s="35"/>
      <c r="F8" s="35"/>
      <c r="G8" s="5"/>
      <c r="H8" s="16"/>
      <c r="I8" s="17" t="str">
        <f t="shared" si="0"/>
        <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1.9414341777836992</v>
      </c>
      <c r="B20" s="8">
        <f>COUNT(H3:H17)</f>
        <v>4</v>
      </c>
      <c r="C20" s="9">
        <f>IF(B20&lt;2,"n/a",(A20/D20))</f>
        <v>4.9175131149536457E-2</v>
      </c>
      <c r="D20" s="10">
        <f>IFERROR(ROUND(AVERAGE(H3:H17),2),"")</f>
        <v>39.479999999999997</v>
      </c>
      <c r="E20" s="15" t="str">
        <f>IFERROR(ROUND(IF(B20&lt;2,"n/a",(IF(C20&lt;=25%,"n/a",AVERAGE(I3:I17)))),2),"n/a")</f>
        <v>n/a</v>
      </c>
      <c r="F20" s="10">
        <f>IFERROR(ROUND(MEDIAN(H3:H17),2),"")</f>
        <v>39</v>
      </c>
      <c r="G20" s="11" t="str">
        <f>IFERROR(INDEX(G3:G17,MATCH(H20,H3:H17,0)),"")</f>
        <v>VOXATRON COMERCIO DE INFORMATICA LTDA</v>
      </c>
      <c r="H20" s="12">
        <f>F3</f>
        <v>37.9</v>
      </c>
    </row>
    <row r="22" spans="1:9" x14ac:dyDescent="0.25">
      <c r="G22" s="13" t="s">
        <v>20</v>
      </c>
      <c r="H22" s="14">
        <f>IF(C20&lt;=25%,D20,MIN(E20:F20))</f>
        <v>39.479999999999997</v>
      </c>
    </row>
    <row r="23" spans="1:9" x14ac:dyDescent="0.25">
      <c r="G23" s="13" t="s">
        <v>6</v>
      </c>
      <c r="H23" s="14">
        <f>ROUND(H22,2)*D3</f>
        <v>197399.99999999997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33</v>
      </c>
      <c r="B3" s="32" t="s">
        <v>289</v>
      </c>
      <c r="C3" s="34" t="s">
        <v>7</v>
      </c>
      <c r="D3" s="34">
        <v>1500</v>
      </c>
      <c r="E3" s="35">
        <f>IF(C20&lt;=25%,D20,MIN(E20:F20))</f>
        <v>6.88</v>
      </c>
      <c r="F3" s="35">
        <f>MIN(H3:H17)</f>
        <v>4.5599999999999996</v>
      </c>
      <c r="G3" s="5" t="s">
        <v>290</v>
      </c>
      <c r="H3" s="16">
        <v>8.99</v>
      </c>
      <c r="I3" s="17">
        <f>IF(H3="","",(IF($C$20&lt;25%,"n/a",IF(H3&lt;=($D$20+$A$20),H3,"Descartado"))))</f>
        <v>8.99</v>
      </c>
    </row>
    <row r="4" spans="1:9" x14ac:dyDescent="0.25">
      <c r="A4" s="36"/>
      <c r="B4" s="33"/>
      <c r="C4" s="34"/>
      <c r="D4" s="34"/>
      <c r="E4" s="35"/>
      <c r="F4" s="35"/>
      <c r="G4" s="5" t="s">
        <v>291</v>
      </c>
      <c r="H4" s="16">
        <v>4.5599999999999996</v>
      </c>
      <c r="I4" s="17">
        <f t="shared" ref="I4:I17" si="0">IF(H4="","",(IF($C$20&lt;25%,"n/a",IF(H4&lt;=($D$20+$A$20),H4,"Descartado"))))</f>
        <v>4.5599999999999996</v>
      </c>
    </row>
    <row r="5" spans="1:9" x14ac:dyDescent="0.25">
      <c r="A5" s="36"/>
      <c r="B5" s="33"/>
      <c r="C5" s="34"/>
      <c r="D5" s="34"/>
      <c r="E5" s="35"/>
      <c r="F5" s="35"/>
      <c r="G5" s="5" t="s">
        <v>292</v>
      </c>
      <c r="H5" s="16">
        <v>5.23</v>
      </c>
      <c r="I5" s="17">
        <f t="shared" si="0"/>
        <v>5.23</v>
      </c>
    </row>
    <row r="6" spans="1:9" x14ac:dyDescent="0.25">
      <c r="A6" s="36"/>
      <c r="B6" s="33"/>
      <c r="C6" s="34"/>
      <c r="D6" s="34"/>
      <c r="E6" s="35"/>
      <c r="F6" s="35"/>
      <c r="G6" s="5" t="s">
        <v>185</v>
      </c>
      <c r="H6" s="16">
        <v>7.9</v>
      </c>
      <c r="I6" s="17">
        <f t="shared" si="0"/>
        <v>7.9</v>
      </c>
    </row>
    <row r="7" spans="1:9" x14ac:dyDescent="0.25">
      <c r="A7" s="36"/>
      <c r="B7" s="33"/>
      <c r="C7" s="34"/>
      <c r="D7" s="34"/>
      <c r="E7" s="35"/>
      <c r="F7" s="35"/>
      <c r="G7" s="5" t="s">
        <v>293</v>
      </c>
      <c r="H7" s="16">
        <v>5.5</v>
      </c>
      <c r="I7" s="17">
        <f t="shared" si="0"/>
        <v>5.5</v>
      </c>
    </row>
    <row r="8" spans="1:9" x14ac:dyDescent="0.25">
      <c r="A8" s="36"/>
      <c r="B8" s="33"/>
      <c r="C8" s="34"/>
      <c r="D8" s="34"/>
      <c r="E8" s="35"/>
      <c r="F8" s="35"/>
      <c r="G8" s="5" t="s">
        <v>294</v>
      </c>
      <c r="H8" s="16">
        <v>7.45</v>
      </c>
      <c r="I8" s="17">
        <f t="shared" si="0"/>
        <v>7.45</v>
      </c>
    </row>
    <row r="9" spans="1:9" x14ac:dyDescent="0.25">
      <c r="A9" s="36"/>
      <c r="B9" s="33"/>
      <c r="C9" s="34"/>
      <c r="D9" s="34"/>
      <c r="E9" s="35"/>
      <c r="F9" s="35"/>
      <c r="G9" s="5" t="s">
        <v>295</v>
      </c>
      <c r="H9" s="16">
        <v>8.5</v>
      </c>
      <c r="I9" s="17">
        <f t="shared" si="0"/>
        <v>8.5</v>
      </c>
    </row>
    <row r="10" spans="1:9" x14ac:dyDescent="0.25">
      <c r="A10" s="36"/>
      <c r="B10" s="33"/>
      <c r="C10" s="34"/>
      <c r="D10" s="34"/>
      <c r="E10" s="35"/>
      <c r="F10" s="35"/>
      <c r="G10" s="5" t="s">
        <v>296</v>
      </c>
      <c r="H10" s="16">
        <v>20</v>
      </c>
      <c r="I10" s="17" t="str">
        <f t="shared" si="0"/>
        <v>Descartado</v>
      </c>
    </row>
    <row r="11" spans="1:9" x14ac:dyDescent="0.25">
      <c r="A11" s="36"/>
      <c r="B11" s="33"/>
      <c r="C11" s="34"/>
      <c r="D11" s="34"/>
      <c r="E11" s="35"/>
      <c r="F11" s="35"/>
      <c r="G11" s="5" t="s">
        <v>297</v>
      </c>
      <c r="H11" s="16">
        <v>31.34</v>
      </c>
      <c r="I11" s="17" t="str">
        <f t="shared" si="0"/>
        <v>Descartado</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8.8896720661925688</v>
      </c>
      <c r="B20" s="8">
        <f>COUNT(H3:H17)</f>
        <v>9</v>
      </c>
      <c r="C20" s="9">
        <f>IF(B20&lt;2,"n/a",(A20/D20))</f>
        <v>0.80449520961018717</v>
      </c>
      <c r="D20" s="10">
        <f>IFERROR(ROUND(AVERAGE(H3:H17),2),"")</f>
        <v>11.05</v>
      </c>
      <c r="E20" s="15">
        <f>IFERROR(ROUND(IF(B20&lt;2,"n/a",(IF(C20&lt;=25%,"n/a",AVERAGE(I3:I17)))),2),"n/a")</f>
        <v>6.88</v>
      </c>
      <c r="F20" s="10">
        <f>IFERROR(ROUND(MEDIAN(H3:H17),2),"")</f>
        <v>7.9</v>
      </c>
      <c r="G20" s="11" t="str">
        <f>IFERROR(INDEX(G3:G17,MATCH(H20,H3:H17,0)),"")</f>
        <v>99 COISAS.COM.BR</v>
      </c>
      <c r="H20" s="12">
        <f>F3</f>
        <v>4.5599999999999996</v>
      </c>
    </row>
    <row r="22" spans="1:9" x14ac:dyDescent="0.25">
      <c r="G22" s="13" t="s">
        <v>20</v>
      </c>
      <c r="H22" s="14">
        <f>IF(C20&lt;=25%,D20,MIN(E20:F20))</f>
        <v>6.88</v>
      </c>
    </row>
    <row r="23" spans="1:9" x14ac:dyDescent="0.25">
      <c r="G23" s="13" t="s">
        <v>6</v>
      </c>
      <c r="H23" s="14">
        <f>ROUND(H22,2)*D3</f>
        <v>10320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34</v>
      </c>
      <c r="B3" s="32" t="s">
        <v>298</v>
      </c>
      <c r="C3" s="34" t="s">
        <v>7</v>
      </c>
      <c r="D3" s="34">
        <v>2500</v>
      </c>
      <c r="E3" s="35">
        <f>IF(C20&lt;=25%,D20,MIN(E20:F20))</f>
        <v>9.65</v>
      </c>
      <c r="F3" s="35">
        <f>MIN(H3:H17)</f>
        <v>7.87</v>
      </c>
      <c r="G3" s="5" t="s">
        <v>299</v>
      </c>
      <c r="H3" s="16">
        <v>7.87</v>
      </c>
      <c r="I3" s="17">
        <f>IF(H3="","",(IF($C$20&lt;25%,"n/a",IF(H3&lt;=($D$20+$A$20),H3,"Descartado"))))</f>
        <v>7.87</v>
      </c>
    </row>
    <row r="4" spans="1:9" x14ac:dyDescent="0.25">
      <c r="A4" s="36"/>
      <c r="B4" s="33"/>
      <c r="C4" s="34"/>
      <c r="D4" s="34"/>
      <c r="E4" s="35"/>
      <c r="F4" s="35"/>
      <c r="G4" s="5" t="s">
        <v>300</v>
      </c>
      <c r="H4" s="16">
        <v>8.2899999999999991</v>
      </c>
      <c r="I4" s="17">
        <f t="shared" ref="I4:I17" si="0">IF(H4="","",(IF($C$20&lt;25%,"n/a",IF(H4&lt;=($D$20+$A$20),H4,"Descartado"))))</f>
        <v>8.2899999999999991</v>
      </c>
    </row>
    <row r="5" spans="1:9" x14ac:dyDescent="0.25">
      <c r="A5" s="36"/>
      <c r="B5" s="33"/>
      <c r="C5" s="34"/>
      <c r="D5" s="34"/>
      <c r="E5" s="35"/>
      <c r="F5" s="35"/>
      <c r="G5" s="5" t="s">
        <v>301</v>
      </c>
      <c r="H5" s="16">
        <v>12.8</v>
      </c>
      <c r="I5" s="17">
        <f t="shared" si="0"/>
        <v>12.8</v>
      </c>
    </row>
    <row r="6" spans="1:9" x14ac:dyDescent="0.25">
      <c r="A6" s="36"/>
      <c r="B6" s="33"/>
      <c r="C6" s="34"/>
      <c r="D6" s="34"/>
      <c r="E6" s="35"/>
      <c r="F6" s="35"/>
      <c r="G6" s="5" t="s">
        <v>302</v>
      </c>
      <c r="H6" s="16">
        <v>15.74</v>
      </c>
      <c r="I6" s="17" t="str">
        <f t="shared" si="0"/>
        <v>Descartado</v>
      </c>
    </row>
    <row r="7" spans="1:9" x14ac:dyDescent="0.25">
      <c r="A7" s="36"/>
      <c r="B7" s="33"/>
      <c r="C7" s="34"/>
      <c r="D7" s="34"/>
      <c r="E7" s="35"/>
      <c r="F7" s="35"/>
      <c r="G7" s="5"/>
      <c r="H7" s="16"/>
      <c r="I7" s="17" t="str">
        <f t="shared" si="0"/>
        <v/>
      </c>
    </row>
    <row r="8" spans="1:9" x14ac:dyDescent="0.25">
      <c r="A8" s="36"/>
      <c r="B8" s="33"/>
      <c r="C8" s="34"/>
      <c r="D8" s="34"/>
      <c r="E8" s="35"/>
      <c r="F8" s="35"/>
      <c r="G8" s="5"/>
      <c r="H8" s="16"/>
      <c r="I8" s="17" t="str">
        <f t="shared" si="0"/>
        <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3.7738618593336621</v>
      </c>
      <c r="B20" s="8">
        <f>COUNT(H3:H17)</f>
        <v>4</v>
      </c>
      <c r="C20" s="9">
        <f>IF(B20&lt;2,"n/a",(A20/D20))</f>
        <v>0.33755472802626674</v>
      </c>
      <c r="D20" s="10">
        <f>IFERROR(ROUND(AVERAGE(H3:H17),2),"")</f>
        <v>11.18</v>
      </c>
      <c r="E20" s="15">
        <f>IFERROR(ROUND(IF(B20&lt;2,"n/a",(IF(C20&lt;=25%,"n/a",AVERAGE(I3:I17)))),2),"n/a")</f>
        <v>9.65</v>
      </c>
      <c r="F20" s="10">
        <f>IFERROR(ROUND(MEDIAN(H3:H17),2),"")</f>
        <v>10.55</v>
      </c>
      <c r="G20" s="11" t="str">
        <f>IFERROR(INDEX(G3:G17,MATCH(H20,H3:H17,0)),"")</f>
        <v xml:space="preserve">12.533.412/0001-76 PE 39/2022 TRE BA </v>
      </c>
      <c r="H20" s="12">
        <f>F3</f>
        <v>7.87</v>
      </c>
    </row>
    <row r="22" spans="1:9" x14ac:dyDescent="0.25">
      <c r="G22" s="13" t="s">
        <v>20</v>
      </c>
      <c r="H22" s="14">
        <f>IF(C20&lt;=25%,D20,MIN(E20:F20))</f>
        <v>9.65</v>
      </c>
    </row>
    <row r="23" spans="1:9" x14ac:dyDescent="0.25">
      <c r="G23" s="13" t="s">
        <v>6</v>
      </c>
      <c r="H23" s="14">
        <f>ROUND(H22,2)*D3</f>
        <v>24125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35</v>
      </c>
      <c r="B3" s="32" t="s">
        <v>303</v>
      </c>
      <c r="C3" s="34" t="s">
        <v>304</v>
      </c>
      <c r="D3" s="34">
        <v>5000</v>
      </c>
      <c r="E3" s="35">
        <f>IF(C20&lt;=25%,D20,MIN(E20:F20))</f>
        <v>4.17</v>
      </c>
      <c r="F3" s="35">
        <f>MIN(H3:H17)</f>
        <v>3.24</v>
      </c>
      <c r="G3" s="5" t="s">
        <v>305</v>
      </c>
      <c r="H3" s="16">
        <v>3.24</v>
      </c>
      <c r="I3" s="17">
        <f>IF(H3="","",(IF($C$20&lt;25%,"n/a",IF(H3&lt;=($D$20+$A$20),H3,"Descartado"))))</f>
        <v>3.24</v>
      </c>
    </row>
    <row r="4" spans="1:9" x14ac:dyDescent="0.25">
      <c r="A4" s="36"/>
      <c r="B4" s="33"/>
      <c r="C4" s="34"/>
      <c r="D4" s="34"/>
      <c r="E4" s="35"/>
      <c r="F4" s="35"/>
      <c r="G4" s="5" t="s">
        <v>306</v>
      </c>
      <c r="H4" s="16">
        <v>3.57</v>
      </c>
      <c r="I4" s="17">
        <f t="shared" ref="I4:I17" si="0">IF(H4="","",(IF($C$20&lt;25%,"n/a",IF(H4&lt;=($D$20+$A$20),H4,"Descartado"))))</f>
        <v>3.57</v>
      </c>
    </row>
    <row r="5" spans="1:9" x14ac:dyDescent="0.25">
      <c r="A5" s="36"/>
      <c r="B5" s="33"/>
      <c r="C5" s="34"/>
      <c r="D5" s="34"/>
      <c r="E5" s="35"/>
      <c r="F5" s="35"/>
      <c r="G5" s="5" t="s">
        <v>307</v>
      </c>
      <c r="H5" s="16">
        <v>3.95</v>
      </c>
      <c r="I5" s="17">
        <f t="shared" si="0"/>
        <v>3.95</v>
      </c>
    </row>
    <row r="6" spans="1:9" x14ac:dyDescent="0.25">
      <c r="A6" s="36"/>
      <c r="B6" s="33"/>
      <c r="C6" s="34"/>
      <c r="D6" s="34"/>
      <c r="E6" s="35"/>
      <c r="F6" s="35"/>
      <c r="G6" s="5" t="s">
        <v>308</v>
      </c>
      <c r="H6" s="16">
        <v>4.13</v>
      </c>
      <c r="I6" s="17">
        <f t="shared" si="0"/>
        <v>4.13</v>
      </c>
    </row>
    <row r="7" spans="1:9" x14ac:dyDescent="0.25">
      <c r="A7" s="36"/>
      <c r="B7" s="33"/>
      <c r="C7" s="34"/>
      <c r="D7" s="34"/>
      <c r="E7" s="35"/>
      <c r="F7" s="35"/>
      <c r="G7" s="5" t="s">
        <v>309</v>
      </c>
      <c r="H7" s="16">
        <v>4.1500000000000004</v>
      </c>
      <c r="I7" s="17">
        <f t="shared" si="0"/>
        <v>4.1500000000000004</v>
      </c>
    </row>
    <row r="8" spans="1:9" x14ac:dyDescent="0.25">
      <c r="A8" s="36"/>
      <c r="B8" s="33"/>
      <c r="C8" s="34"/>
      <c r="D8" s="34"/>
      <c r="E8" s="35"/>
      <c r="F8" s="35"/>
      <c r="G8" s="5" t="s">
        <v>310</v>
      </c>
      <c r="H8" s="16">
        <v>7.17</v>
      </c>
      <c r="I8" s="17">
        <f t="shared" si="0"/>
        <v>7.17</v>
      </c>
    </row>
    <row r="9" spans="1:9" x14ac:dyDescent="0.25">
      <c r="A9" s="36"/>
      <c r="B9" s="33"/>
      <c r="C9" s="34"/>
      <c r="D9" s="34"/>
      <c r="E9" s="35"/>
      <c r="F9" s="35"/>
      <c r="G9" s="5" t="s">
        <v>311</v>
      </c>
      <c r="H9" s="16">
        <v>4.1900000000000004</v>
      </c>
      <c r="I9" s="17">
        <f t="shared" si="0"/>
        <v>4.1900000000000004</v>
      </c>
    </row>
    <row r="10" spans="1:9" x14ac:dyDescent="0.25">
      <c r="A10" s="36"/>
      <c r="B10" s="33"/>
      <c r="C10" s="34"/>
      <c r="D10" s="34"/>
      <c r="E10" s="35"/>
      <c r="F10" s="35"/>
      <c r="G10" s="5" t="s">
        <v>312</v>
      </c>
      <c r="H10" s="16">
        <v>5.98</v>
      </c>
      <c r="I10" s="17">
        <f t="shared" si="0"/>
        <v>5.98</v>
      </c>
    </row>
    <row r="11" spans="1:9" x14ac:dyDescent="0.25">
      <c r="A11" s="36"/>
      <c r="B11" s="33"/>
      <c r="C11" s="34"/>
      <c r="D11" s="34"/>
      <c r="E11" s="35"/>
      <c r="F11" s="35"/>
      <c r="G11" s="5" t="s">
        <v>313</v>
      </c>
      <c r="H11" s="16">
        <v>8.1999999999999993</v>
      </c>
      <c r="I11" s="17" t="str">
        <f t="shared" si="0"/>
        <v>Descartado</v>
      </c>
    </row>
    <row r="12" spans="1:9" x14ac:dyDescent="0.25">
      <c r="A12" s="36"/>
      <c r="B12" s="33"/>
      <c r="C12" s="34"/>
      <c r="D12" s="34"/>
      <c r="E12" s="35"/>
      <c r="F12" s="35"/>
      <c r="G12" s="5" t="s">
        <v>314</v>
      </c>
      <c r="H12" s="16">
        <v>10.25</v>
      </c>
      <c r="I12" s="17" t="str">
        <f t="shared" si="0"/>
        <v>Descartado</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2.3456676377242092</v>
      </c>
      <c r="B20" s="8">
        <f>COUNT(H3:H17)</f>
        <v>10</v>
      </c>
      <c r="C20" s="9">
        <f>IF(B20&lt;2,"n/a",(A20/D20))</f>
        <v>0.42804153973069509</v>
      </c>
      <c r="D20" s="10">
        <f>IFERROR(ROUND(AVERAGE(H3:H17),2),"")</f>
        <v>5.48</v>
      </c>
      <c r="E20" s="15">
        <f>IFERROR(ROUND(IF(B20&lt;2,"n/a",(IF(C20&lt;=25%,"n/a",AVERAGE(I3:I17)))),2),"n/a")</f>
        <v>4.55</v>
      </c>
      <c r="F20" s="10">
        <f>IFERROR(ROUND(MEDIAN(H3:H17),2),"")</f>
        <v>4.17</v>
      </c>
      <c r="G20" s="11" t="str">
        <f>IFERROR(INDEX(G3:G17,MATCH(H20,H3:H17,0)),"")</f>
        <v>24.827.291/0001-54 PE 11/2023 TRE-BA</v>
      </c>
      <c r="H20" s="12">
        <f>F3</f>
        <v>3.24</v>
      </c>
    </row>
    <row r="22" spans="1:9" x14ac:dyDescent="0.25">
      <c r="G22" s="13" t="s">
        <v>20</v>
      </c>
      <c r="H22" s="14">
        <f>IF(C20&lt;=25%,D20,MIN(E20:F20))</f>
        <v>4.17</v>
      </c>
    </row>
    <row r="23" spans="1:9" x14ac:dyDescent="0.25">
      <c r="G23" s="13" t="s">
        <v>6</v>
      </c>
      <c r="H23" s="14">
        <f>ROUND(H22,2)*D3</f>
        <v>20850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36</v>
      </c>
      <c r="B3" s="32" t="s">
        <v>315</v>
      </c>
      <c r="C3" s="34" t="s">
        <v>304</v>
      </c>
      <c r="D3" s="34">
        <v>5000</v>
      </c>
      <c r="E3" s="35">
        <f>IF(C20&lt;=25%,D20,MIN(E20:F20))</f>
        <v>6.56</v>
      </c>
      <c r="F3" s="35">
        <f>MIN(H3:H17)</f>
        <v>4.6900000000000004</v>
      </c>
      <c r="G3" s="5" t="s">
        <v>316</v>
      </c>
      <c r="H3" s="16">
        <v>6.73</v>
      </c>
      <c r="I3" s="17">
        <f>IF(H3="","",(IF($C$20&lt;25%,"n/a",IF(H3&lt;=($D$20+$A$20),H3,"Descartado"))))</f>
        <v>6.73</v>
      </c>
    </row>
    <row r="4" spans="1:9" x14ac:dyDescent="0.25">
      <c r="A4" s="36"/>
      <c r="B4" s="33"/>
      <c r="C4" s="34"/>
      <c r="D4" s="34"/>
      <c r="E4" s="35"/>
      <c r="F4" s="35"/>
      <c r="G4" s="5" t="s">
        <v>317</v>
      </c>
      <c r="H4" s="16">
        <v>5.94</v>
      </c>
      <c r="I4" s="17">
        <f t="shared" ref="I4:I17" si="0">IF(H4="","",(IF($C$20&lt;25%,"n/a",IF(H4&lt;=($D$20+$A$20),H4,"Descartado"))))</f>
        <v>5.94</v>
      </c>
    </row>
    <row r="5" spans="1:9" x14ac:dyDescent="0.25">
      <c r="A5" s="36"/>
      <c r="B5" s="33"/>
      <c r="C5" s="34"/>
      <c r="D5" s="34"/>
      <c r="E5" s="35"/>
      <c r="F5" s="35"/>
      <c r="G5" s="5" t="s">
        <v>318</v>
      </c>
      <c r="H5" s="16">
        <v>7.95</v>
      </c>
      <c r="I5" s="17">
        <f t="shared" si="0"/>
        <v>7.95</v>
      </c>
    </row>
    <row r="6" spans="1:9" x14ac:dyDescent="0.25">
      <c r="A6" s="36"/>
      <c r="B6" s="33"/>
      <c r="C6" s="34"/>
      <c r="D6" s="34"/>
      <c r="E6" s="35"/>
      <c r="F6" s="35"/>
      <c r="G6" s="5" t="s">
        <v>319</v>
      </c>
      <c r="H6" s="16">
        <v>8.9499999999999993</v>
      </c>
      <c r="I6" s="17">
        <f t="shared" si="0"/>
        <v>8.9499999999999993</v>
      </c>
    </row>
    <row r="7" spans="1:9" x14ac:dyDescent="0.25">
      <c r="A7" s="36"/>
      <c r="B7" s="33"/>
      <c r="C7" s="34"/>
      <c r="D7" s="34"/>
      <c r="E7" s="35"/>
      <c r="F7" s="35"/>
      <c r="G7" s="5" t="s">
        <v>77</v>
      </c>
      <c r="H7" s="16">
        <v>11.77</v>
      </c>
      <c r="I7" s="17" t="str">
        <f t="shared" si="0"/>
        <v>Descartado</v>
      </c>
    </row>
    <row r="8" spans="1:9" x14ac:dyDescent="0.25">
      <c r="A8" s="36"/>
      <c r="B8" s="33"/>
      <c r="C8" s="34"/>
      <c r="D8" s="34"/>
      <c r="E8" s="35"/>
      <c r="F8" s="35"/>
      <c r="G8" s="5" t="s">
        <v>320</v>
      </c>
      <c r="H8" s="16">
        <v>4.6900000000000004</v>
      </c>
      <c r="I8" s="17">
        <f t="shared" si="0"/>
        <v>4.6900000000000004</v>
      </c>
    </row>
    <row r="9" spans="1:9" x14ac:dyDescent="0.25">
      <c r="A9" s="36"/>
      <c r="B9" s="33"/>
      <c r="C9" s="34"/>
      <c r="D9" s="34"/>
      <c r="E9" s="35"/>
      <c r="F9" s="35"/>
      <c r="G9" s="5" t="s">
        <v>321</v>
      </c>
      <c r="H9" s="16">
        <v>5.0999999999999996</v>
      </c>
      <c r="I9" s="17">
        <f t="shared" si="0"/>
        <v>5.0999999999999996</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2.4816785793951164</v>
      </c>
      <c r="B20" s="8">
        <f>COUNT(H3:H17)</f>
        <v>7</v>
      </c>
      <c r="C20" s="9">
        <f>IF(B20&lt;2,"n/a",(A20/D20))</f>
        <v>0.33995596978015291</v>
      </c>
      <c r="D20" s="10">
        <f>IFERROR(ROUND(AVERAGE(H3:H17),2),"")</f>
        <v>7.3</v>
      </c>
      <c r="E20" s="15">
        <f>IFERROR(ROUND(IF(B20&lt;2,"n/a",(IF(C20&lt;=25%,"n/a",AVERAGE(I3:I17)))),2),"n/a")</f>
        <v>6.56</v>
      </c>
      <c r="F20" s="10">
        <f>IFERROR(ROUND(MEDIAN(H3:H17),2),"")</f>
        <v>6.73</v>
      </c>
      <c r="G20" s="11" t="str">
        <f>IFERROR(INDEX(G3:G17,MATCH(H20,H3:H17,0)),"")</f>
        <v>AMAR TRANSPORTES DE CARGAS</v>
      </c>
      <c r="H20" s="12">
        <f>F3</f>
        <v>4.6900000000000004</v>
      </c>
    </row>
    <row r="22" spans="1:9" x14ac:dyDescent="0.25">
      <c r="G22" s="13" t="s">
        <v>20</v>
      </c>
      <c r="H22" s="14">
        <f>IF(C20&lt;=25%,D20,MIN(E20:F20))</f>
        <v>6.56</v>
      </c>
    </row>
    <row r="23" spans="1:9" x14ac:dyDescent="0.25">
      <c r="G23" s="13" t="s">
        <v>6</v>
      </c>
      <c r="H23" s="14">
        <f>ROUND(H22,2)*D3</f>
        <v>32800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9" sqref="H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37</v>
      </c>
      <c r="B3" s="32" t="s">
        <v>322</v>
      </c>
      <c r="C3" s="34" t="s">
        <v>143</v>
      </c>
      <c r="D3" s="34">
        <v>1500</v>
      </c>
      <c r="E3" s="35">
        <f>IF(C20&lt;=25%,D20,MIN(E20:F20))</f>
        <v>28.45</v>
      </c>
      <c r="F3" s="35">
        <f>MIN(H3:H17)</f>
        <v>18.291599999999999</v>
      </c>
      <c r="G3" s="5" t="s">
        <v>323</v>
      </c>
      <c r="H3" s="16">
        <f>0.18*1.0162*100</f>
        <v>18.291599999999999</v>
      </c>
      <c r="I3" s="17">
        <f>IF(H3="","",(IF($C$20&lt;25%,"n/a",IF(H3&lt;=($D$20+$A$20),H3,"Descartado"))))</f>
        <v>18.291599999999999</v>
      </c>
    </row>
    <row r="4" spans="1:9" x14ac:dyDescent="0.25">
      <c r="A4" s="36"/>
      <c r="B4" s="33"/>
      <c r="C4" s="34"/>
      <c r="D4" s="34"/>
      <c r="E4" s="35"/>
      <c r="F4" s="35"/>
      <c r="G4" s="5" t="s">
        <v>324</v>
      </c>
      <c r="H4" s="16">
        <f>0.29*1.0162*100</f>
        <v>29.469799999999996</v>
      </c>
      <c r="I4" s="17">
        <f t="shared" ref="I4:I17" si="0">IF(H4="","",(IF($C$20&lt;25%,"n/a",IF(H4&lt;=($D$20+$A$20),H4,"Descartado"))))</f>
        <v>29.469799999999996</v>
      </c>
    </row>
    <row r="5" spans="1:9" x14ac:dyDescent="0.25">
      <c r="A5" s="36"/>
      <c r="B5" s="33"/>
      <c r="C5" s="34"/>
      <c r="D5" s="34"/>
      <c r="E5" s="35"/>
      <c r="F5" s="35"/>
      <c r="G5" s="5" t="s">
        <v>325</v>
      </c>
      <c r="H5" s="16">
        <f>0.27*1.0162*100</f>
        <v>27.4374</v>
      </c>
      <c r="I5" s="17">
        <f t="shared" si="0"/>
        <v>27.4374</v>
      </c>
    </row>
    <row r="6" spans="1:9" x14ac:dyDescent="0.25">
      <c r="A6" s="36"/>
      <c r="B6" s="33"/>
      <c r="C6" s="34"/>
      <c r="D6" s="34"/>
      <c r="E6" s="35"/>
      <c r="F6" s="35"/>
      <c r="G6" s="5" t="s">
        <v>326</v>
      </c>
      <c r="H6" s="16">
        <f>0.2*1.0162*100</f>
        <v>20.324000000000002</v>
      </c>
      <c r="I6" s="17">
        <f t="shared" si="0"/>
        <v>20.324000000000002</v>
      </c>
    </row>
    <row r="7" spans="1:9" x14ac:dyDescent="0.25">
      <c r="A7" s="36"/>
      <c r="B7" s="33"/>
      <c r="C7" s="34"/>
      <c r="D7" s="34"/>
      <c r="E7" s="35"/>
      <c r="F7" s="35"/>
      <c r="G7" s="5" t="s">
        <v>327</v>
      </c>
      <c r="H7" s="16">
        <f>2*1.0162*100</f>
        <v>203.24</v>
      </c>
      <c r="I7" s="17">
        <f t="shared" si="0"/>
        <v>203.24</v>
      </c>
    </row>
    <row r="8" spans="1:9" x14ac:dyDescent="0.25">
      <c r="A8" s="36"/>
      <c r="B8" s="33"/>
      <c r="C8" s="34"/>
      <c r="D8" s="34"/>
      <c r="E8" s="35"/>
      <c r="F8" s="35"/>
      <c r="G8" s="5" t="s">
        <v>328</v>
      </c>
      <c r="H8" s="16">
        <f>3*1.0162*100</f>
        <v>304.86</v>
      </c>
      <c r="I8" s="17" t="str">
        <f t="shared" si="0"/>
        <v>Descartado</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123.197643963446</v>
      </c>
      <c r="B20" s="8">
        <f>COUNT(H3:H17)</f>
        <v>6</v>
      </c>
      <c r="C20" s="9">
        <f>IF(B20&lt;2,"n/a",(A20/D20))</f>
        <v>1.2246286676286879</v>
      </c>
      <c r="D20" s="10">
        <f>IFERROR(ROUND(AVERAGE(H3:H17),2),"")</f>
        <v>100.6</v>
      </c>
      <c r="E20" s="15">
        <f>IFERROR(ROUND(IF(B20&lt;2,"n/a",(IF(C20&lt;=25%,"n/a",AVERAGE(I3:I17)))),2),"n/a")</f>
        <v>59.75</v>
      </c>
      <c r="F20" s="10">
        <f>IFERROR(ROUND(MEDIAN(H3:H17),2),"")</f>
        <v>28.45</v>
      </c>
      <c r="G20" s="11" t="str">
        <f>IFERROR(INDEX(G3:G17,MATCH(H20,H3:H17,0)),"")</f>
        <v>11.087.084/0001-69 PE 1/2023 UFMG</v>
      </c>
      <c r="H20" s="12">
        <f>F3</f>
        <v>18.291599999999999</v>
      </c>
    </row>
    <row r="22" spans="1:9" x14ac:dyDescent="0.25">
      <c r="G22" s="13" t="s">
        <v>20</v>
      </c>
      <c r="H22" s="14">
        <f>IF(C20&lt;=25%,D20,MIN(E20:F20))</f>
        <v>28.45</v>
      </c>
    </row>
    <row r="23" spans="1:9" x14ac:dyDescent="0.25">
      <c r="G23" s="13" t="s">
        <v>6</v>
      </c>
      <c r="H23" s="14">
        <f>ROUND(H22,2)*D3</f>
        <v>42675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38</v>
      </c>
      <c r="B3" s="32" t="s">
        <v>329</v>
      </c>
      <c r="C3" s="34" t="s">
        <v>7</v>
      </c>
      <c r="D3" s="34">
        <v>10000</v>
      </c>
      <c r="E3" s="35">
        <f>IF(C20&lt;=25%,D20,MIN(E20:F20))</f>
        <v>3.39</v>
      </c>
      <c r="F3" s="35">
        <f>MIN(H3:H17)</f>
        <v>1.75</v>
      </c>
      <c r="G3" s="5" t="s">
        <v>330</v>
      </c>
      <c r="H3" s="16">
        <v>3</v>
      </c>
      <c r="I3" s="17">
        <f>IF(H3="","",(IF($C$20&lt;25%,"n/a",IF(H3&lt;=($D$20+$A$20),H3,"Descartado"))))</f>
        <v>3</v>
      </c>
    </row>
    <row r="4" spans="1:9" x14ac:dyDescent="0.25">
      <c r="A4" s="36"/>
      <c r="B4" s="33"/>
      <c r="C4" s="34"/>
      <c r="D4" s="34"/>
      <c r="E4" s="35"/>
      <c r="F4" s="35"/>
      <c r="G4" s="5" t="s">
        <v>331</v>
      </c>
      <c r="H4" s="16">
        <v>3.8</v>
      </c>
      <c r="I4" s="17">
        <f t="shared" ref="I4:I17" si="0">IF(H4="","",(IF($C$20&lt;25%,"n/a",IF(H4&lt;=($D$20+$A$20),H4,"Descartado"))))</f>
        <v>3.8</v>
      </c>
    </row>
    <row r="5" spans="1:9" x14ac:dyDescent="0.25">
      <c r="A5" s="36"/>
      <c r="B5" s="33"/>
      <c r="C5" s="34"/>
      <c r="D5" s="34"/>
      <c r="E5" s="35"/>
      <c r="F5" s="35"/>
      <c r="G5" s="5" t="s">
        <v>332</v>
      </c>
      <c r="H5" s="16">
        <v>71</v>
      </c>
      <c r="I5" s="17" t="str">
        <f t="shared" si="0"/>
        <v>Descartado</v>
      </c>
    </row>
    <row r="6" spans="1:9" x14ac:dyDescent="0.25">
      <c r="A6" s="36"/>
      <c r="B6" s="33"/>
      <c r="C6" s="34"/>
      <c r="D6" s="34"/>
      <c r="E6" s="35"/>
      <c r="F6" s="35"/>
      <c r="G6" s="5" t="s">
        <v>216</v>
      </c>
      <c r="H6" s="16">
        <v>1.75</v>
      </c>
      <c r="I6" s="17">
        <f t="shared" si="0"/>
        <v>1.75</v>
      </c>
    </row>
    <row r="7" spans="1:9" x14ac:dyDescent="0.25">
      <c r="A7" s="36"/>
      <c r="B7" s="33"/>
      <c r="C7" s="34"/>
      <c r="D7" s="34"/>
      <c r="E7" s="35"/>
      <c r="F7" s="35"/>
      <c r="G7" s="5" t="s">
        <v>333</v>
      </c>
      <c r="H7" s="16">
        <v>5.9</v>
      </c>
      <c r="I7" s="17">
        <f t="shared" si="0"/>
        <v>5.9</v>
      </c>
    </row>
    <row r="8" spans="1:9" x14ac:dyDescent="0.25">
      <c r="A8" s="36"/>
      <c r="B8" s="33"/>
      <c r="C8" s="34"/>
      <c r="D8" s="34"/>
      <c r="E8" s="35"/>
      <c r="F8" s="35"/>
      <c r="G8" s="5" t="s">
        <v>50</v>
      </c>
      <c r="H8" s="16">
        <v>2.56</v>
      </c>
      <c r="I8" s="17">
        <f t="shared" si="0"/>
        <v>2.56</v>
      </c>
    </row>
    <row r="9" spans="1:9" x14ac:dyDescent="0.25">
      <c r="A9" s="36"/>
      <c r="B9" s="33"/>
      <c r="C9" s="34"/>
      <c r="D9" s="34"/>
      <c r="E9" s="35"/>
      <c r="F9" s="35"/>
      <c r="G9" s="5" t="s">
        <v>334</v>
      </c>
      <c r="H9" s="16">
        <v>3.92</v>
      </c>
      <c r="I9" s="17">
        <f t="shared" si="0"/>
        <v>3.92</v>
      </c>
    </row>
    <row r="10" spans="1:9" x14ac:dyDescent="0.25">
      <c r="A10" s="36"/>
      <c r="B10" s="33"/>
      <c r="C10" s="34"/>
      <c r="D10" s="34"/>
      <c r="E10" s="35"/>
      <c r="F10" s="35"/>
      <c r="G10" s="5" t="s">
        <v>199</v>
      </c>
      <c r="H10" s="16">
        <v>2.8</v>
      </c>
      <c r="I10" s="17">
        <f t="shared" si="0"/>
        <v>2.8</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23.935481395678199</v>
      </c>
      <c r="B20" s="8">
        <f>COUNT(H3:H17)</f>
        <v>8</v>
      </c>
      <c r="C20" s="9">
        <f>IF(B20&lt;2,"n/a",(A20/D20))</f>
        <v>2.0215778205809292</v>
      </c>
      <c r="D20" s="10">
        <f>IFERROR(ROUND(AVERAGE(H3:H17),2),"")</f>
        <v>11.84</v>
      </c>
      <c r="E20" s="15">
        <f>IFERROR(ROUND(IF(B20&lt;2,"n/a",(IF(C20&lt;=25%,"n/a",AVERAGE(I3:I17)))),2),"n/a")</f>
        <v>3.39</v>
      </c>
      <c r="F20" s="10">
        <f>IFERROR(ROUND(MEDIAN(H3:H17),2),"")</f>
        <v>3.4</v>
      </c>
      <c r="G20" s="11" t="str">
        <f>IFERROR(INDEX(G3:G17,MATCH(H20,H3:H17,0)),"")</f>
        <v>OCEAN B2B</v>
      </c>
      <c r="H20" s="12">
        <f>F3</f>
        <v>1.75</v>
      </c>
    </row>
    <row r="22" spans="1:9" x14ac:dyDescent="0.25">
      <c r="G22" s="13" t="s">
        <v>20</v>
      </c>
      <c r="H22" s="14">
        <f>IF(C20&lt;=25%,D20,MIN(E20:F20))</f>
        <v>3.39</v>
      </c>
    </row>
    <row r="23" spans="1:9" x14ac:dyDescent="0.25">
      <c r="G23" s="13" t="s">
        <v>6</v>
      </c>
      <c r="H23" s="14">
        <f>ROUND(H22,2)*D3</f>
        <v>33900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39</v>
      </c>
      <c r="B3" s="32" t="s">
        <v>335</v>
      </c>
      <c r="C3" s="34" t="s">
        <v>7</v>
      </c>
      <c r="D3" s="34">
        <v>800</v>
      </c>
      <c r="E3" s="35">
        <f>IF(C20&lt;=25%,D20,MIN(E20:F20))</f>
        <v>90.75</v>
      </c>
      <c r="F3" s="35">
        <f>MIN(H3:H17)</f>
        <v>52</v>
      </c>
      <c r="G3" s="5" t="s">
        <v>336</v>
      </c>
      <c r="H3" s="16">
        <v>52</v>
      </c>
      <c r="I3" s="17">
        <f>IF(H3="","",(IF($C$20&lt;25%,"n/a",IF(H3&lt;=($D$20+$A$20),H3,"Descartado"))))</f>
        <v>52</v>
      </c>
    </row>
    <row r="4" spans="1:9" x14ac:dyDescent="0.25">
      <c r="A4" s="36"/>
      <c r="B4" s="33"/>
      <c r="C4" s="34"/>
      <c r="D4" s="34"/>
      <c r="E4" s="35"/>
      <c r="F4" s="35"/>
      <c r="G4" s="5" t="s">
        <v>171</v>
      </c>
      <c r="H4" s="16">
        <v>57.64</v>
      </c>
      <c r="I4" s="17">
        <f t="shared" ref="I4:I17" si="0">IF(H4="","",(IF($C$20&lt;25%,"n/a",IF(H4&lt;=($D$20+$A$20),H4,"Descartado"))))</f>
        <v>57.64</v>
      </c>
    </row>
    <row r="5" spans="1:9" x14ac:dyDescent="0.25">
      <c r="A5" s="36"/>
      <c r="B5" s="33"/>
      <c r="C5" s="34"/>
      <c r="D5" s="34"/>
      <c r="E5" s="35"/>
      <c r="F5" s="35"/>
      <c r="G5" s="5" t="s">
        <v>337</v>
      </c>
      <c r="H5" s="16">
        <v>97.88</v>
      </c>
      <c r="I5" s="17">
        <f t="shared" si="0"/>
        <v>97.88</v>
      </c>
    </row>
    <row r="6" spans="1:9" x14ac:dyDescent="0.25">
      <c r="A6" s="36"/>
      <c r="B6" s="33"/>
      <c r="C6" s="34"/>
      <c r="D6" s="34"/>
      <c r="E6" s="35"/>
      <c r="F6" s="35"/>
      <c r="G6" s="5" t="s">
        <v>338</v>
      </c>
      <c r="H6" s="16">
        <v>155.46</v>
      </c>
      <c r="I6" s="17">
        <f t="shared" si="0"/>
        <v>155.46</v>
      </c>
    </row>
    <row r="7" spans="1:9" x14ac:dyDescent="0.25">
      <c r="A7" s="36"/>
      <c r="B7" s="33"/>
      <c r="C7" s="34"/>
      <c r="D7" s="34"/>
      <c r="E7" s="35"/>
      <c r="F7" s="35"/>
      <c r="G7" s="5" t="s">
        <v>339</v>
      </c>
      <c r="H7" s="16">
        <v>224.8</v>
      </c>
      <c r="I7" s="17" t="str">
        <f t="shared" si="0"/>
        <v>Descartado</v>
      </c>
    </row>
    <row r="8" spans="1:9" x14ac:dyDescent="0.25">
      <c r="A8" s="36"/>
      <c r="B8" s="33"/>
      <c r="C8" s="34"/>
      <c r="D8" s="34"/>
      <c r="E8" s="35"/>
      <c r="F8" s="35"/>
      <c r="G8" s="5"/>
      <c r="H8" s="16"/>
      <c r="I8" s="17" t="str">
        <f t="shared" si="0"/>
        <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72.822815655534811</v>
      </c>
      <c r="B20" s="8">
        <f>COUNT(H3:H17)</f>
        <v>5</v>
      </c>
      <c r="C20" s="9">
        <f>IF(B20&lt;2,"n/a",(A20/D20))</f>
        <v>0.6194523277946139</v>
      </c>
      <c r="D20" s="10">
        <f>IFERROR(ROUND(AVERAGE(H3:H17),2),"")</f>
        <v>117.56</v>
      </c>
      <c r="E20" s="15">
        <f>IFERROR(ROUND(IF(B20&lt;2,"n/a",(IF(C20&lt;=25%,"n/a",AVERAGE(I3:I17)))),2),"n/a")</f>
        <v>90.75</v>
      </c>
      <c r="F20" s="10">
        <f>IFERROR(ROUND(MEDIAN(H3:H17),2),"")</f>
        <v>97.88</v>
      </c>
      <c r="G20" s="11" t="str">
        <f>IFERROR(INDEX(G3:G17,MATCH(H20,H3:H17,0)),"")</f>
        <v>GUILHERME DOS SANTOS RIBEIRO</v>
      </c>
      <c r="H20" s="12">
        <f>F3</f>
        <v>52</v>
      </c>
    </row>
    <row r="22" spans="1:9" x14ac:dyDescent="0.25">
      <c r="G22" s="13" t="s">
        <v>20</v>
      </c>
      <c r="H22" s="14">
        <f>IF(C20&lt;=25%,D20,MIN(E20:F20))</f>
        <v>90.75</v>
      </c>
    </row>
    <row r="23" spans="1:9" x14ac:dyDescent="0.25">
      <c r="G23" s="13" t="s">
        <v>6</v>
      </c>
      <c r="H23" s="14">
        <f>ROUND(H22,2)*D3</f>
        <v>72600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4</v>
      </c>
      <c r="B3" s="32" t="s">
        <v>57</v>
      </c>
      <c r="C3" s="34" t="s">
        <v>39</v>
      </c>
      <c r="D3" s="34">
        <v>300</v>
      </c>
      <c r="E3" s="35">
        <f>IF(C20&lt;=25%,D20,MIN(E20:F20))</f>
        <v>18.72</v>
      </c>
      <c r="F3" s="35">
        <f>MIN(H3:H17)</f>
        <v>8.66</v>
      </c>
      <c r="G3" s="5" t="s">
        <v>50</v>
      </c>
      <c r="H3" s="16">
        <v>19.62</v>
      </c>
      <c r="I3" s="17">
        <f>IF(H3="","",(IF($C$20&lt;25%,"n/a",IF(H3&lt;=($D$20+$A$20),H3,"Descartado"))))</f>
        <v>19.62</v>
      </c>
    </row>
    <row r="4" spans="1:9" x14ac:dyDescent="0.25">
      <c r="A4" s="36"/>
      <c r="B4" s="33"/>
      <c r="C4" s="34"/>
      <c r="D4" s="34"/>
      <c r="E4" s="35"/>
      <c r="F4" s="35"/>
      <c r="G4" s="5" t="s">
        <v>58</v>
      </c>
      <c r="H4" s="16">
        <v>20.5</v>
      </c>
      <c r="I4" s="17">
        <f t="shared" ref="I4:I17" si="0">IF(H4="","",(IF($C$20&lt;25%,"n/a",IF(H4&lt;=($D$20+$A$20),H4,"Descartado"))))</f>
        <v>20.5</v>
      </c>
    </row>
    <row r="5" spans="1:9" x14ac:dyDescent="0.25">
      <c r="A5" s="36"/>
      <c r="B5" s="33"/>
      <c r="C5" s="34"/>
      <c r="D5" s="34"/>
      <c r="E5" s="35"/>
      <c r="F5" s="35"/>
      <c r="G5" s="5" t="s">
        <v>59</v>
      </c>
      <c r="H5" s="16">
        <v>25.5</v>
      </c>
      <c r="I5" s="17">
        <f t="shared" si="0"/>
        <v>25.5</v>
      </c>
    </row>
    <row r="6" spans="1:9" x14ac:dyDescent="0.25">
      <c r="A6" s="36"/>
      <c r="B6" s="33"/>
      <c r="C6" s="34"/>
      <c r="D6" s="34"/>
      <c r="E6" s="35"/>
      <c r="F6" s="35"/>
      <c r="G6" s="5" t="s">
        <v>60</v>
      </c>
      <c r="H6" s="16">
        <v>42.84</v>
      </c>
      <c r="I6" s="17" t="str">
        <f t="shared" si="0"/>
        <v>Descartado</v>
      </c>
    </row>
    <row r="7" spans="1:9" x14ac:dyDescent="0.25">
      <c r="A7" s="36"/>
      <c r="B7" s="33"/>
      <c r="C7" s="34"/>
      <c r="D7" s="34"/>
      <c r="E7" s="35"/>
      <c r="F7" s="35"/>
      <c r="G7" s="5" t="s">
        <v>36</v>
      </c>
      <c r="H7" s="16">
        <v>34.5</v>
      </c>
      <c r="I7" s="17">
        <f t="shared" si="0"/>
        <v>34.5</v>
      </c>
    </row>
    <row r="8" spans="1:9" x14ac:dyDescent="0.25">
      <c r="A8" s="36"/>
      <c r="B8" s="33"/>
      <c r="C8" s="34"/>
      <c r="D8" s="34"/>
      <c r="E8" s="35"/>
      <c r="F8" s="35"/>
      <c r="G8" s="5" t="s">
        <v>61</v>
      </c>
      <c r="H8" s="16">
        <v>42.51</v>
      </c>
      <c r="I8" s="17" t="str">
        <f t="shared" si="0"/>
        <v>Descartado</v>
      </c>
    </row>
    <row r="9" spans="1:9" x14ac:dyDescent="0.25">
      <c r="A9" s="36"/>
      <c r="B9" s="33"/>
      <c r="C9" s="34"/>
      <c r="D9" s="34"/>
      <c r="E9" s="35"/>
      <c r="F9" s="35"/>
      <c r="G9" s="5" t="s">
        <v>62</v>
      </c>
      <c r="H9" s="16">
        <v>8.66</v>
      </c>
      <c r="I9" s="17">
        <f t="shared" si="0"/>
        <v>8.66</v>
      </c>
    </row>
    <row r="10" spans="1:9" x14ac:dyDescent="0.25">
      <c r="A10" s="36"/>
      <c r="B10" s="33"/>
      <c r="C10" s="34"/>
      <c r="D10" s="34"/>
      <c r="E10" s="35"/>
      <c r="F10" s="35"/>
      <c r="G10" s="5" t="s">
        <v>63</v>
      </c>
      <c r="H10" s="16">
        <v>9.59</v>
      </c>
      <c r="I10" s="17">
        <f t="shared" si="0"/>
        <v>9.59</v>
      </c>
    </row>
    <row r="11" spans="1:9" x14ac:dyDescent="0.25">
      <c r="A11" s="36"/>
      <c r="B11" s="33"/>
      <c r="C11" s="34"/>
      <c r="D11" s="34"/>
      <c r="E11" s="35"/>
      <c r="F11" s="35"/>
      <c r="G11" s="5" t="s">
        <v>64</v>
      </c>
      <c r="H11" s="16">
        <v>12.19</v>
      </c>
      <c r="I11" s="17">
        <f t="shared" si="0"/>
        <v>12.19</v>
      </c>
    </row>
    <row r="12" spans="1:9" x14ac:dyDescent="0.25">
      <c r="A12" s="36"/>
      <c r="B12" s="33"/>
      <c r="C12" s="34"/>
      <c r="D12" s="34"/>
      <c r="E12" s="35"/>
      <c r="F12" s="35"/>
      <c r="G12" s="5" t="s">
        <v>65</v>
      </c>
      <c r="H12" s="16">
        <v>15.46</v>
      </c>
      <c r="I12" s="17">
        <f t="shared" si="0"/>
        <v>15.46</v>
      </c>
    </row>
    <row r="13" spans="1:9" x14ac:dyDescent="0.25">
      <c r="A13" s="36"/>
      <c r="B13" s="33"/>
      <c r="C13" s="34"/>
      <c r="D13" s="34"/>
      <c r="E13" s="35"/>
      <c r="F13" s="35"/>
      <c r="G13" s="5" t="s">
        <v>66</v>
      </c>
      <c r="H13" s="16">
        <v>22.5</v>
      </c>
      <c r="I13" s="17">
        <f t="shared" si="0"/>
        <v>22.5</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12.205706415071154</v>
      </c>
      <c r="B20" s="8">
        <f>COUNT(H3:H17)</f>
        <v>11</v>
      </c>
      <c r="C20" s="9">
        <f>IF(B20&lt;2,"n/a",(A20/D20))</f>
        <v>0.52884343219545726</v>
      </c>
      <c r="D20" s="10">
        <f>IFERROR(ROUND(AVERAGE(H3:H17),2),"")</f>
        <v>23.08</v>
      </c>
      <c r="E20" s="15">
        <f>IFERROR(ROUND(IF(B20&lt;2,"n/a",(IF(C20&lt;=25%,"n/a",AVERAGE(I3:I17)))),2),"n/a")</f>
        <v>18.72</v>
      </c>
      <c r="F20" s="10">
        <f>IFERROR(ROUND(MEDIAN(H3:H17),2),"")</f>
        <v>20.5</v>
      </c>
      <c r="G20" s="11" t="str">
        <f>IFERROR(INDEX(G3:G17,MATCH(H20,H3:H17,0)),"")</f>
        <v>TATA PAPELARIA</v>
      </c>
      <c r="H20" s="12">
        <f>F3</f>
        <v>8.66</v>
      </c>
    </row>
    <row r="22" spans="1:9" x14ac:dyDescent="0.25">
      <c r="G22" s="13" t="s">
        <v>20</v>
      </c>
      <c r="H22" s="14">
        <f>IF(C20&lt;=25%,D20,MIN(E20:F20))</f>
        <v>18.72</v>
      </c>
    </row>
    <row r="23" spans="1:9" x14ac:dyDescent="0.25">
      <c r="G23" s="13" t="s">
        <v>6</v>
      </c>
      <c r="H23" s="14">
        <f>ROUND(H22,2)*D3</f>
        <v>5616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40</v>
      </c>
      <c r="B3" s="32" t="s">
        <v>38</v>
      </c>
      <c r="C3" s="34" t="s">
        <v>39</v>
      </c>
      <c r="D3" s="34">
        <v>3750</v>
      </c>
      <c r="E3" s="35">
        <f>IF(C20&lt;=25%,D20,MIN(E20:F20))</f>
        <v>37.53</v>
      </c>
      <c r="F3" s="35">
        <f>MIN(H3:H17)</f>
        <v>26</v>
      </c>
      <c r="G3" s="5" t="s">
        <v>40</v>
      </c>
      <c r="H3" s="16">
        <v>47.1</v>
      </c>
      <c r="I3" s="17">
        <f>IF(H3="","",(IF($C$20&lt;25%,"n/a",IF(H3&lt;=($D$20+$A$20),H3,"Descartado"))))</f>
        <v>47.1</v>
      </c>
    </row>
    <row r="4" spans="1:9" x14ac:dyDescent="0.25">
      <c r="A4" s="36"/>
      <c r="B4" s="33"/>
      <c r="C4" s="34"/>
      <c r="D4" s="34"/>
      <c r="E4" s="35"/>
      <c r="F4" s="35"/>
      <c r="G4" s="5" t="s">
        <v>36</v>
      </c>
      <c r="H4" s="16">
        <v>39.9</v>
      </c>
      <c r="I4" s="17">
        <f t="shared" ref="I4:I17" si="0">IF(H4="","",(IF($C$20&lt;25%,"n/a",IF(H4&lt;=($D$20+$A$20),H4,"Descartado"))))</f>
        <v>39.9</v>
      </c>
    </row>
    <row r="5" spans="1:9" x14ac:dyDescent="0.25">
      <c r="A5" s="36"/>
      <c r="B5" s="33"/>
      <c r="C5" s="34"/>
      <c r="D5" s="34"/>
      <c r="E5" s="35"/>
      <c r="F5" s="35"/>
      <c r="G5" s="5" t="s">
        <v>41</v>
      </c>
      <c r="H5" s="16">
        <v>54.6</v>
      </c>
      <c r="I5" s="17">
        <f t="shared" si="0"/>
        <v>54.6</v>
      </c>
    </row>
    <row r="6" spans="1:9" x14ac:dyDescent="0.25">
      <c r="A6" s="36"/>
      <c r="B6" s="33"/>
      <c r="C6" s="34"/>
      <c r="D6" s="34"/>
      <c r="E6" s="35"/>
      <c r="F6" s="35"/>
      <c r="G6" s="5" t="s">
        <v>42</v>
      </c>
      <c r="H6" s="16">
        <v>51.6</v>
      </c>
      <c r="I6" s="17">
        <f t="shared" si="0"/>
        <v>51.6</v>
      </c>
    </row>
    <row r="7" spans="1:9" x14ac:dyDescent="0.25">
      <c r="A7" s="36"/>
      <c r="B7" s="33"/>
      <c r="C7" s="34"/>
      <c r="D7" s="34"/>
      <c r="E7" s="35"/>
      <c r="F7" s="35"/>
      <c r="G7" s="5" t="s">
        <v>43</v>
      </c>
      <c r="H7" s="16">
        <v>75</v>
      </c>
      <c r="I7" s="17" t="str">
        <f t="shared" si="0"/>
        <v>Descartado</v>
      </c>
    </row>
    <row r="8" spans="1:9" x14ac:dyDescent="0.25">
      <c r="A8" s="36"/>
      <c r="B8" s="33"/>
      <c r="C8" s="34"/>
      <c r="D8" s="34"/>
      <c r="E8" s="35"/>
      <c r="F8" s="35"/>
      <c r="G8" s="5" t="s">
        <v>44</v>
      </c>
      <c r="H8" s="16">
        <v>26</v>
      </c>
      <c r="I8" s="17">
        <f t="shared" si="0"/>
        <v>26</v>
      </c>
    </row>
    <row r="9" spans="1:9" x14ac:dyDescent="0.25">
      <c r="A9" s="36"/>
      <c r="B9" s="33"/>
      <c r="C9" s="34"/>
      <c r="D9" s="34"/>
      <c r="E9" s="35"/>
      <c r="F9" s="35"/>
      <c r="G9" s="5" t="s">
        <v>45</v>
      </c>
      <c r="H9" s="16">
        <v>26</v>
      </c>
      <c r="I9" s="17">
        <f t="shared" si="0"/>
        <v>26</v>
      </c>
    </row>
    <row r="10" spans="1:9" x14ac:dyDescent="0.25">
      <c r="A10" s="36"/>
      <c r="B10" s="33"/>
      <c r="C10" s="34"/>
      <c r="D10" s="34"/>
      <c r="E10" s="35"/>
      <c r="F10" s="35"/>
      <c r="G10" s="5" t="s">
        <v>46</v>
      </c>
      <c r="H10" s="16">
        <v>27</v>
      </c>
      <c r="I10" s="17">
        <f t="shared" si="0"/>
        <v>27</v>
      </c>
    </row>
    <row r="11" spans="1:9" x14ac:dyDescent="0.25">
      <c r="A11" s="36"/>
      <c r="B11" s="33"/>
      <c r="C11" s="34"/>
      <c r="D11" s="34"/>
      <c r="E11" s="35"/>
      <c r="F11" s="35"/>
      <c r="G11" s="5" t="s">
        <v>47</v>
      </c>
      <c r="H11" s="16">
        <v>28</v>
      </c>
      <c r="I11" s="17">
        <f t="shared" si="0"/>
        <v>28</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16.964922962133112</v>
      </c>
      <c r="B20" s="8">
        <f>COUNT(H3:H17)</f>
        <v>9</v>
      </c>
      <c r="C20" s="9">
        <f>IF(B20&lt;2,"n/a",(A20/D20))</f>
        <v>0.40693027013991634</v>
      </c>
      <c r="D20" s="10">
        <f>IFERROR(ROUND(AVERAGE(H3:H17),2),"")</f>
        <v>41.69</v>
      </c>
      <c r="E20" s="15">
        <f>IFERROR(ROUND(IF(B20&lt;2,"n/a",(IF(C20&lt;=25%,"n/a",AVERAGE(I3:I17)))),2),"n/a")</f>
        <v>37.53</v>
      </c>
      <c r="F20" s="10">
        <f>IFERROR(ROUND(MEDIAN(H3:H17),2),"")</f>
        <v>39.9</v>
      </c>
      <c r="G20" s="11" t="str">
        <f>IFERROR(INDEX(G3:G17,MATCH(H20,H3:H17,0)),"")</f>
        <v>MABEM COMÉRCIO E DISTRIBUIÇÃO</v>
      </c>
      <c r="H20" s="12">
        <f>F3</f>
        <v>26</v>
      </c>
    </row>
    <row r="22" spans="1:9" x14ac:dyDescent="0.25">
      <c r="G22" s="13" t="s">
        <v>20</v>
      </c>
      <c r="H22" s="14">
        <f>IF(C20&lt;=25%,D20,MIN(E20:F20))</f>
        <v>37.53</v>
      </c>
    </row>
    <row r="23" spans="1:9" x14ac:dyDescent="0.25">
      <c r="G23" s="13" t="s">
        <v>6</v>
      </c>
      <c r="H23" s="14">
        <f>ROUND(H22,2)*D3</f>
        <v>140737.5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8" t="s">
        <v>1</v>
      </c>
      <c r="B2" s="28" t="s">
        <v>2</v>
      </c>
      <c r="C2" s="28" t="s">
        <v>3</v>
      </c>
      <c r="D2" s="28" t="s">
        <v>4</v>
      </c>
      <c r="E2" s="28" t="s">
        <v>9</v>
      </c>
      <c r="F2" s="28" t="s">
        <v>10</v>
      </c>
      <c r="G2" s="28" t="s">
        <v>11</v>
      </c>
      <c r="H2" s="28" t="s">
        <v>12</v>
      </c>
      <c r="I2" s="28" t="s">
        <v>13</v>
      </c>
    </row>
    <row r="3" spans="1:9" x14ac:dyDescent="0.25">
      <c r="A3" s="36">
        <v>41</v>
      </c>
      <c r="B3" s="32" t="s">
        <v>82</v>
      </c>
      <c r="C3" s="34" t="s">
        <v>7</v>
      </c>
      <c r="D3" s="34">
        <v>15000</v>
      </c>
      <c r="E3" s="35">
        <f>IF(C20&lt;=25%,D20,MIN(E20:F20))</f>
        <v>5.83</v>
      </c>
      <c r="F3" s="35">
        <f>MIN(H3:H17)</f>
        <v>3.83</v>
      </c>
      <c r="G3" s="5" t="s">
        <v>52</v>
      </c>
      <c r="H3" s="16">
        <v>18.5</v>
      </c>
      <c r="I3" s="17" t="str">
        <f>IF(H3="","",(IF($C$20&lt;25%,"n/a",IF(H3&lt;=($D$20+$A$20),H3,"Descartado"))))</f>
        <v>Descartado</v>
      </c>
    </row>
    <row r="4" spans="1:9" x14ac:dyDescent="0.25">
      <c r="A4" s="36"/>
      <c r="B4" s="33"/>
      <c r="C4" s="34"/>
      <c r="D4" s="34"/>
      <c r="E4" s="35"/>
      <c r="F4" s="35"/>
      <c r="G4" s="5" t="s">
        <v>36</v>
      </c>
      <c r="H4" s="16">
        <v>9</v>
      </c>
      <c r="I4" s="17">
        <f t="shared" ref="I4:I17" si="0">IF(H4="","",(IF($C$20&lt;25%,"n/a",IF(H4&lt;=($D$20+$A$20),H4,"Descartado"))))</f>
        <v>9</v>
      </c>
    </row>
    <row r="5" spans="1:9" x14ac:dyDescent="0.25">
      <c r="A5" s="36"/>
      <c r="B5" s="33"/>
      <c r="C5" s="34"/>
      <c r="D5" s="34"/>
      <c r="E5" s="35"/>
      <c r="F5" s="35"/>
      <c r="G5" s="5" t="s">
        <v>83</v>
      </c>
      <c r="H5" s="16">
        <v>6.99</v>
      </c>
      <c r="I5" s="17">
        <f t="shared" si="0"/>
        <v>6.99</v>
      </c>
    </row>
    <row r="6" spans="1:9" x14ac:dyDescent="0.25">
      <c r="A6" s="36"/>
      <c r="B6" s="33"/>
      <c r="C6" s="34"/>
      <c r="D6" s="34"/>
      <c r="E6" s="35"/>
      <c r="F6" s="35"/>
      <c r="G6" s="5" t="s">
        <v>84</v>
      </c>
      <c r="H6" s="16">
        <v>3.83</v>
      </c>
      <c r="I6" s="17">
        <f t="shared" si="0"/>
        <v>3.83</v>
      </c>
    </row>
    <row r="7" spans="1:9" x14ac:dyDescent="0.25">
      <c r="A7" s="36"/>
      <c r="B7" s="33"/>
      <c r="C7" s="34"/>
      <c r="D7" s="34"/>
      <c r="E7" s="35"/>
      <c r="F7" s="35"/>
      <c r="G7" s="5" t="s">
        <v>85</v>
      </c>
      <c r="H7" s="16">
        <v>3.9</v>
      </c>
      <c r="I7" s="17">
        <f t="shared" si="0"/>
        <v>3.9</v>
      </c>
    </row>
    <row r="8" spans="1:9" x14ac:dyDescent="0.25">
      <c r="A8" s="36"/>
      <c r="B8" s="33"/>
      <c r="C8" s="34"/>
      <c r="D8" s="34"/>
      <c r="E8" s="35"/>
      <c r="F8" s="35"/>
      <c r="G8" s="5" t="s">
        <v>86</v>
      </c>
      <c r="H8" s="16">
        <v>3.93</v>
      </c>
      <c r="I8" s="17">
        <f t="shared" si="0"/>
        <v>3.93</v>
      </c>
    </row>
    <row r="9" spans="1:9" x14ac:dyDescent="0.25">
      <c r="A9" s="36"/>
      <c r="B9" s="33"/>
      <c r="C9" s="34"/>
      <c r="D9" s="34"/>
      <c r="E9" s="35"/>
      <c r="F9" s="35"/>
      <c r="G9" s="5" t="s">
        <v>87</v>
      </c>
      <c r="H9" s="16">
        <v>7.35</v>
      </c>
      <c r="I9" s="17">
        <f t="shared" si="0"/>
        <v>7.35</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8" t="s">
        <v>14</v>
      </c>
      <c r="B19" s="28" t="s">
        <v>15</v>
      </c>
      <c r="C19" s="28" t="s">
        <v>25</v>
      </c>
      <c r="D19" s="28" t="s">
        <v>16</v>
      </c>
      <c r="E19" s="28" t="s">
        <v>17</v>
      </c>
      <c r="F19" s="28" t="s">
        <v>18</v>
      </c>
      <c r="G19" s="30" t="s">
        <v>19</v>
      </c>
      <c r="H19" s="30"/>
    </row>
    <row r="20" spans="1:9" x14ac:dyDescent="0.25">
      <c r="A20" s="8">
        <f>IF(B20&lt;2,"n/a",(_xlfn.STDEV.S(H3:H17)))</f>
        <v>5.2051823992559392</v>
      </c>
      <c r="B20" s="8">
        <f>COUNT(H3:H17)</f>
        <v>7</v>
      </c>
      <c r="C20" s="9">
        <f>IF(B20&lt;2,"n/a",(A20/D20))</f>
        <v>0.68130659676124861</v>
      </c>
      <c r="D20" s="10">
        <f>IFERROR(ROUND(AVERAGE(H3:H17),2),"")</f>
        <v>7.64</v>
      </c>
      <c r="E20" s="15">
        <f>IFERROR(ROUND(IF(B20&lt;2,"n/a",(IF(C20&lt;=25%,"n/a",AVERAGE(I3:I17)))),2),"n/a")</f>
        <v>5.83</v>
      </c>
      <c r="F20" s="10">
        <f>IFERROR(ROUND(MEDIAN(H3:H17),2),"")</f>
        <v>6.99</v>
      </c>
      <c r="G20" s="11" t="str">
        <f>IFERROR(INDEX(G3:G17,MATCH(H20,H3:H17,0)),"")</f>
        <v>SUPRIMAX COMERCIAL</v>
      </c>
      <c r="H20" s="12">
        <f>F3</f>
        <v>3.83</v>
      </c>
    </row>
    <row r="22" spans="1:9" x14ac:dyDescent="0.25">
      <c r="G22" s="13" t="s">
        <v>20</v>
      </c>
      <c r="H22" s="14">
        <f>IF(C20&lt;=25%,D20,MIN(E20:F20))</f>
        <v>5.83</v>
      </c>
    </row>
    <row r="23" spans="1:9" x14ac:dyDescent="0.25">
      <c r="G23" s="13" t="s">
        <v>6</v>
      </c>
      <c r="H23" s="14">
        <f>ROUND(H22,2)*D3</f>
        <v>87450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42</v>
      </c>
      <c r="B3" s="32" t="s">
        <v>340</v>
      </c>
      <c r="C3" s="34" t="s">
        <v>198</v>
      </c>
      <c r="D3" s="34">
        <v>22400</v>
      </c>
      <c r="E3" s="35">
        <f>IF(C20&lt;=25%,D20,MIN(E20:F20))</f>
        <v>30.48</v>
      </c>
      <c r="F3" s="35">
        <f>MIN(H3:H17)</f>
        <v>23.6</v>
      </c>
      <c r="G3" s="5" t="s">
        <v>199</v>
      </c>
      <c r="H3" s="16">
        <v>23.6</v>
      </c>
      <c r="I3" s="17" t="str">
        <f>IF(H3="","",(IF($C$20&lt;25%,"n/a",IF(H3&lt;=($D$20+$A$20),H3,"Descartado"))))</f>
        <v>n/a</v>
      </c>
    </row>
    <row r="4" spans="1:9" x14ac:dyDescent="0.25">
      <c r="A4" s="36"/>
      <c r="B4" s="33"/>
      <c r="C4" s="34"/>
      <c r="D4" s="34"/>
      <c r="E4" s="35"/>
      <c r="F4" s="35"/>
      <c r="G4" s="5" t="s">
        <v>37</v>
      </c>
      <c r="H4" s="16">
        <v>25</v>
      </c>
      <c r="I4" s="17" t="str">
        <f t="shared" ref="I4:I17" si="0">IF(H4="","",(IF($C$20&lt;25%,"n/a",IF(H4&lt;=($D$20+$A$20),H4,"Descartado"))))</f>
        <v>n/a</v>
      </c>
    </row>
    <row r="5" spans="1:9" x14ac:dyDescent="0.25">
      <c r="A5" s="36"/>
      <c r="B5" s="33"/>
      <c r="C5" s="34"/>
      <c r="D5" s="34"/>
      <c r="E5" s="35"/>
      <c r="F5" s="35"/>
      <c r="G5" s="5" t="s">
        <v>36</v>
      </c>
      <c r="H5" s="16">
        <v>30.9</v>
      </c>
      <c r="I5" s="17" t="str">
        <f t="shared" si="0"/>
        <v>n/a</v>
      </c>
    </row>
    <row r="6" spans="1:9" x14ac:dyDescent="0.25">
      <c r="A6" s="36"/>
      <c r="B6" s="33"/>
      <c r="C6" s="34"/>
      <c r="D6" s="34"/>
      <c r="E6" s="35"/>
      <c r="F6" s="35"/>
      <c r="G6" s="5" t="s">
        <v>200</v>
      </c>
      <c r="H6" s="16">
        <v>30.9</v>
      </c>
      <c r="I6" s="17" t="str">
        <f t="shared" si="0"/>
        <v>n/a</v>
      </c>
    </row>
    <row r="7" spans="1:9" x14ac:dyDescent="0.25">
      <c r="A7" s="36"/>
      <c r="B7" s="33"/>
      <c r="C7" s="34"/>
      <c r="D7" s="34"/>
      <c r="E7" s="35"/>
      <c r="F7" s="35"/>
      <c r="G7" s="5" t="s">
        <v>201</v>
      </c>
      <c r="H7" s="16">
        <v>39.9</v>
      </c>
      <c r="I7" s="17" t="str">
        <f t="shared" si="0"/>
        <v>n/a</v>
      </c>
    </row>
    <row r="8" spans="1:9" x14ac:dyDescent="0.25">
      <c r="A8" s="36"/>
      <c r="B8" s="33"/>
      <c r="C8" s="34"/>
      <c r="D8" s="34"/>
      <c r="E8" s="35"/>
      <c r="F8" s="35"/>
      <c r="G8" s="5" t="s">
        <v>202</v>
      </c>
      <c r="H8" s="16">
        <v>28.9</v>
      </c>
      <c r="I8" s="17" t="str">
        <f t="shared" si="0"/>
        <v>n/a</v>
      </c>
    </row>
    <row r="9" spans="1:9" x14ac:dyDescent="0.25">
      <c r="A9" s="36"/>
      <c r="B9" s="33"/>
      <c r="C9" s="34"/>
      <c r="D9" s="34"/>
      <c r="E9" s="35"/>
      <c r="F9" s="35"/>
      <c r="G9" s="5" t="s">
        <v>166</v>
      </c>
      <c r="H9" s="16">
        <v>26.99</v>
      </c>
      <c r="I9" s="17" t="str">
        <f t="shared" si="0"/>
        <v>n/a</v>
      </c>
    </row>
    <row r="10" spans="1:9" x14ac:dyDescent="0.25">
      <c r="A10" s="36"/>
      <c r="B10" s="33"/>
      <c r="C10" s="34"/>
      <c r="D10" s="34"/>
      <c r="E10" s="35"/>
      <c r="F10" s="35"/>
      <c r="G10" s="5" t="s">
        <v>203</v>
      </c>
      <c r="H10" s="16">
        <v>30.9</v>
      </c>
      <c r="I10" s="17" t="str">
        <f t="shared" si="0"/>
        <v>n/a</v>
      </c>
    </row>
    <row r="11" spans="1:9" x14ac:dyDescent="0.25">
      <c r="A11" s="36"/>
      <c r="B11" s="33"/>
      <c r="C11" s="34"/>
      <c r="D11" s="34"/>
      <c r="E11" s="35"/>
      <c r="F11" s="35"/>
      <c r="G11" s="5" t="s">
        <v>204</v>
      </c>
      <c r="H11" s="16">
        <v>31.07</v>
      </c>
      <c r="I11" s="17" t="str">
        <f t="shared" si="0"/>
        <v>n/a</v>
      </c>
    </row>
    <row r="12" spans="1:9" x14ac:dyDescent="0.25">
      <c r="A12" s="36"/>
      <c r="B12" s="33"/>
      <c r="C12" s="34"/>
      <c r="D12" s="34"/>
      <c r="E12" s="35"/>
      <c r="F12" s="35"/>
      <c r="G12" s="5" t="s">
        <v>205</v>
      </c>
      <c r="H12" s="16">
        <v>32.5</v>
      </c>
      <c r="I12" s="17" t="str">
        <f t="shared" si="0"/>
        <v>n/a</v>
      </c>
    </row>
    <row r="13" spans="1:9" x14ac:dyDescent="0.25">
      <c r="A13" s="36"/>
      <c r="B13" s="33"/>
      <c r="C13" s="34"/>
      <c r="D13" s="34"/>
      <c r="E13" s="35"/>
      <c r="F13" s="35"/>
      <c r="G13" s="5" t="s">
        <v>206</v>
      </c>
      <c r="H13" s="16">
        <v>34.700000000000003</v>
      </c>
      <c r="I13" s="17" t="str">
        <f t="shared" si="0"/>
        <v>n/a</v>
      </c>
    </row>
    <row r="14" spans="1:9" x14ac:dyDescent="0.25">
      <c r="A14" s="36"/>
      <c r="B14" s="33"/>
      <c r="C14" s="34"/>
      <c r="D14" s="34"/>
      <c r="E14" s="35"/>
      <c r="F14" s="35"/>
      <c r="G14" s="5" t="s">
        <v>181</v>
      </c>
      <c r="H14" s="16">
        <v>30.42</v>
      </c>
      <c r="I14" s="17" t="str">
        <f t="shared" si="0"/>
        <v>n/a</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4.3016631737743189</v>
      </c>
      <c r="B20" s="8">
        <f>COUNT(H3:H17)</f>
        <v>12</v>
      </c>
      <c r="C20" s="9">
        <f>IF(B20&lt;2,"n/a",(A20/D20))</f>
        <v>0.14113068155427555</v>
      </c>
      <c r="D20" s="10">
        <f>IFERROR(ROUND(AVERAGE(H3:H17),2),"")</f>
        <v>30.48</v>
      </c>
      <c r="E20" s="15" t="str">
        <f>IFERROR(ROUND(IF(B20&lt;2,"n/a",(IF(C20&lt;=25%,"n/a",AVERAGE(I3:I17)))),2),"n/a")</f>
        <v>n/a</v>
      </c>
      <c r="F20" s="10">
        <f>IFERROR(ROUND(MEDIAN(H3:H17),2),"")</f>
        <v>30.9</v>
      </c>
      <c r="G20" s="11" t="str">
        <f>IFERROR(INDEX(G3:G17,MATCH(H20,H3:H17,0)),"")</f>
        <v>BLAU PAPELARIA</v>
      </c>
      <c r="H20" s="12">
        <f>F3</f>
        <v>23.6</v>
      </c>
    </row>
    <row r="22" spans="1:9" x14ac:dyDescent="0.25">
      <c r="G22" s="13" t="s">
        <v>20</v>
      </c>
      <c r="H22" s="14">
        <f>IF(C20&lt;=25%,D20,MIN(E20:F20))</f>
        <v>30.48</v>
      </c>
    </row>
    <row r="23" spans="1:9" x14ac:dyDescent="0.25">
      <c r="G23" s="13" t="s">
        <v>6</v>
      </c>
      <c r="H23" s="14">
        <f>ROUND(H22,2)*D3</f>
        <v>682752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3" sqref="G3:H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43</v>
      </c>
      <c r="B3" s="32" t="s">
        <v>214</v>
      </c>
      <c r="C3" s="34" t="s">
        <v>7</v>
      </c>
      <c r="D3" s="34">
        <v>120000</v>
      </c>
      <c r="E3" s="35">
        <f>IF(C20&lt;=25%,D20,MIN(E20:F20))</f>
        <v>1.35</v>
      </c>
      <c r="F3" s="35">
        <f>MIN(H3:H17)</f>
        <v>0.75</v>
      </c>
      <c r="G3" s="5" t="s">
        <v>215</v>
      </c>
      <c r="H3" s="16">
        <v>1.35</v>
      </c>
      <c r="I3" s="17">
        <f>IF(H3="","",(IF($C$20&lt;25%,"n/a",IF(H3&lt;=($D$20+$A$20),H3,"Descartado"))))</f>
        <v>1.35</v>
      </c>
    </row>
    <row r="4" spans="1:9" x14ac:dyDescent="0.25">
      <c r="A4" s="36"/>
      <c r="B4" s="33"/>
      <c r="C4" s="34"/>
      <c r="D4" s="34"/>
      <c r="E4" s="35"/>
      <c r="F4" s="35"/>
      <c r="G4" s="5" t="s">
        <v>36</v>
      </c>
      <c r="H4" s="16">
        <v>3.27</v>
      </c>
      <c r="I4" s="17" t="str">
        <f t="shared" ref="I4:I17" si="0">IF(H4="","",(IF($C$20&lt;25%,"n/a",IF(H4&lt;=($D$20+$A$20),H4,"Descartado"))))</f>
        <v>Descartado</v>
      </c>
    </row>
    <row r="5" spans="1:9" x14ac:dyDescent="0.25">
      <c r="A5" s="36"/>
      <c r="B5" s="33"/>
      <c r="C5" s="34"/>
      <c r="D5" s="34"/>
      <c r="E5" s="35"/>
      <c r="F5" s="35"/>
      <c r="G5" s="5" t="s">
        <v>160</v>
      </c>
      <c r="H5" s="16">
        <v>2.4300000000000002</v>
      </c>
      <c r="I5" s="17">
        <f t="shared" si="0"/>
        <v>2.4300000000000002</v>
      </c>
    </row>
    <row r="6" spans="1:9" x14ac:dyDescent="0.25">
      <c r="A6" s="36"/>
      <c r="B6" s="33"/>
      <c r="C6" s="34"/>
      <c r="D6" s="34"/>
      <c r="E6" s="35"/>
      <c r="F6" s="35"/>
      <c r="G6" s="5" t="s">
        <v>216</v>
      </c>
      <c r="H6" s="16">
        <v>0.75</v>
      </c>
      <c r="I6" s="17">
        <f t="shared" si="0"/>
        <v>0.75</v>
      </c>
    </row>
    <row r="7" spans="1:9" x14ac:dyDescent="0.25">
      <c r="A7" s="36"/>
      <c r="B7" s="33"/>
      <c r="C7" s="34"/>
      <c r="D7" s="34"/>
      <c r="E7" s="35"/>
      <c r="F7" s="35"/>
      <c r="G7" s="5" t="s">
        <v>217</v>
      </c>
      <c r="H7" s="16">
        <v>1.1299999999999999</v>
      </c>
      <c r="I7" s="17">
        <f t="shared" si="0"/>
        <v>1.1299999999999999</v>
      </c>
    </row>
    <row r="8" spans="1:9" x14ac:dyDescent="0.25">
      <c r="A8" s="36"/>
      <c r="B8" s="33"/>
      <c r="C8" s="34"/>
      <c r="D8" s="34"/>
      <c r="E8" s="35"/>
      <c r="F8" s="35"/>
      <c r="G8" s="5" t="s">
        <v>218</v>
      </c>
      <c r="H8" s="16">
        <v>1.59</v>
      </c>
      <c r="I8" s="17">
        <f t="shared" si="0"/>
        <v>1.59</v>
      </c>
    </row>
    <row r="9" spans="1:9" x14ac:dyDescent="0.25">
      <c r="A9" s="36"/>
      <c r="B9" s="33"/>
      <c r="C9" s="34"/>
      <c r="D9" s="34"/>
      <c r="E9" s="35"/>
      <c r="F9" s="35"/>
      <c r="G9" s="5" t="s">
        <v>219</v>
      </c>
      <c r="H9" s="16">
        <v>1.18</v>
      </c>
      <c r="I9" s="17">
        <f t="shared" si="0"/>
        <v>1.18</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0.87792233087421789</v>
      </c>
      <c r="B20" s="8">
        <f>COUNT(H3:H17)</f>
        <v>7</v>
      </c>
      <c r="C20" s="9">
        <f>IF(B20&lt;2,"n/a",(A20/D20))</f>
        <v>0.52570199453545985</v>
      </c>
      <c r="D20" s="10">
        <f>IFERROR(ROUND(AVERAGE(H3:H17),2),"")</f>
        <v>1.67</v>
      </c>
      <c r="E20" s="15">
        <f>IFERROR(ROUND(IF(B20&lt;2,"n/a",(IF(C20&lt;=25%,"n/a",AVERAGE(I3:I17)))),2),"n/a")</f>
        <v>1.41</v>
      </c>
      <c r="F20" s="10">
        <f>IFERROR(ROUND(MEDIAN(H3:H17),2),"")</f>
        <v>1.35</v>
      </c>
      <c r="G20" s="11" t="str">
        <f>IFERROR(INDEX(G3:G17,MATCH(H20,H3:H17,0)),"")</f>
        <v>OCEAN B2B</v>
      </c>
      <c r="H20" s="12">
        <f>F3</f>
        <v>0.75</v>
      </c>
    </row>
    <row r="22" spans="1:9" x14ac:dyDescent="0.25">
      <c r="G22" s="13" t="s">
        <v>20</v>
      </c>
      <c r="H22" s="14">
        <f>IF(C20&lt;=25%,D20,MIN(E20:F20))</f>
        <v>1.35</v>
      </c>
    </row>
    <row r="23" spans="1:9" x14ac:dyDescent="0.25">
      <c r="G23" s="13" t="s">
        <v>6</v>
      </c>
      <c r="H23" s="14">
        <f>ROUND(H22,2)*D3</f>
        <v>162000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8" sqref="G8"/>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44</v>
      </c>
      <c r="B3" s="32" t="s">
        <v>258</v>
      </c>
      <c r="C3" s="34" t="s">
        <v>7</v>
      </c>
      <c r="D3" s="34">
        <v>45000</v>
      </c>
      <c r="E3" s="35">
        <f>IF(C20&lt;=25%,D20,MIN(E20:F20))</f>
        <v>2.79</v>
      </c>
      <c r="F3" s="35">
        <f>MIN(H3:H17)</f>
        <v>2.4900000000000002</v>
      </c>
      <c r="G3" s="5" t="s">
        <v>259</v>
      </c>
      <c r="H3" s="16">
        <v>2.4900000000000002</v>
      </c>
      <c r="I3" s="17" t="str">
        <f>IF(H3="","",(IF($C$20&lt;25%,"n/a",IF(H3&lt;=($D$20+$A$20),H3,"Descartado"))))</f>
        <v>n/a</v>
      </c>
    </row>
    <row r="4" spans="1:9" x14ac:dyDescent="0.25">
      <c r="A4" s="36"/>
      <c r="B4" s="33"/>
      <c r="C4" s="34"/>
      <c r="D4" s="34"/>
      <c r="E4" s="35"/>
      <c r="F4" s="35"/>
      <c r="G4" s="5" t="s">
        <v>260</v>
      </c>
      <c r="H4" s="16">
        <v>2.5</v>
      </c>
      <c r="I4" s="17" t="str">
        <f t="shared" ref="I4:I17" si="0">IF(H4="","",(IF($C$20&lt;25%,"n/a",IF(H4&lt;=($D$20+$A$20),H4,"Descartado"))))</f>
        <v>n/a</v>
      </c>
    </row>
    <row r="5" spans="1:9" x14ac:dyDescent="0.25">
      <c r="A5" s="36"/>
      <c r="B5" s="33"/>
      <c r="C5" s="34"/>
      <c r="D5" s="34"/>
      <c r="E5" s="35"/>
      <c r="F5" s="35"/>
      <c r="G5" s="5" t="s">
        <v>261</v>
      </c>
      <c r="H5" s="16">
        <v>3.37</v>
      </c>
      <c r="I5" s="17" t="str">
        <f t="shared" si="0"/>
        <v>n/a</v>
      </c>
    </row>
    <row r="6" spans="1:9" x14ac:dyDescent="0.25">
      <c r="A6" s="36"/>
      <c r="B6" s="33"/>
      <c r="C6" s="34"/>
      <c r="D6" s="34"/>
      <c r="E6" s="35"/>
      <c r="F6" s="35"/>
      <c r="G6" s="5"/>
      <c r="H6" s="16"/>
      <c r="I6" s="17" t="str">
        <f t="shared" si="0"/>
        <v/>
      </c>
    </row>
    <row r="7" spans="1:9" x14ac:dyDescent="0.25">
      <c r="A7" s="36"/>
      <c r="B7" s="33"/>
      <c r="C7" s="34"/>
      <c r="D7" s="34"/>
      <c r="E7" s="35"/>
      <c r="F7" s="35"/>
      <c r="G7" s="5"/>
      <c r="H7" s="16"/>
      <c r="I7" s="17" t="str">
        <f t="shared" si="0"/>
        <v/>
      </c>
    </row>
    <row r="8" spans="1:9" x14ac:dyDescent="0.25">
      <c r="A8" s="36"/>
      <c r="B8" s="33"/>
      <c r="C8" s="34"/>
      <c r="D8" s="34"/>
      <c r="E8" s="35"/>
      <c r="F8" s="35"/>
      <c r="G8" s="5"/>
      <c r="H8" s="16"/>
      <c r="I8" s="17" t="str">
        <f t="shared" si="0"/>
        <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0.50520622851795538</v>
      </c>
      <c r="B20" s="8">
        <f>COUNT(H3:H17)</f>
        <v>3</v>
      </c>
      <c r="C20" s="9">
        <f>IF(B20&lt;2,"n/a",(A20/D20))</f>
        <v>0.1810775012609159</v>
      </c>
      <c r="D20" s="10">
        <f>IFERROR(ROUND(AVERAGE(H3:H17),2),"")</f>
        <v>2.79</v>
      </c>
      <c r="E20" s="15" t="str">
        <f>IFERROR(ROUND(IF(B20&lt;2,"n/a",(IF(C20&lt;=25%,"n/a",AVERAGE(I3:I17)))),2),"n/a")</f>
        <v>n/a</v>
      </c>
      <c r="F20" s="10">
        <f>IFERROR(ROUND(MEDIAN(H3:H17),2),"")</f>
        <v>2.5</v>
      </c>
      <c r="G20" s="11" t="str">
        <f>IFERROR(INDEX(G3:G17,MATCH(H20,H3:H17,0)),"")</f>
        <v>07.579.663/0001-51 - PE 001/2023 CRC GO</v>
      </c>
      <c r="H20" s="12">
        <f>F3</f>
        <v>2.4900000000000002</v>
      </c>
    </row>
    <row r="22" spans="1:9" x14ac:dyDescent="0.25">
      <c r="G22" s="13" t="s">
        <v>20</v>
      </c>
      <c r="H22" s="14">
        <f>IF(C20&lt;=25%,D20,MIN(E20:F20))</f>
        <v>2.79</v>
      </c>
    </row>
    <row r="23" spans="1:9" x14ac:dyDescent="0.25">
      <c r="G23" s="13" t="s">
        <v>6</v>
      </c>
      <c r="H23" s="14">
        <f>ROUND(H22,2)*D3</f>
        <v>125550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6" sqref="G1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45</v>
      </c>
      <c r="B3" s="32" t="s">
        <v>262</v>
      </c>
      <c r="C3" s="34" t="s">
        <v>7</v>
      </c>
      <c r="D3" s="34">
        <v>32000</v>
      </c>
      <c r="E3" s="35">
        <f>IF(C20&lt;=25%,D20,MIN(E20:F20))</f>
        <v>19.91</v>
      </c>
      <c r="F3" s="35">
        <f>MIN(H3:H17)</f>
        <v>9.89</v>
      </c>
      <c r="G3" s="5" t="s">
        <v>263</v>
      </c>
      <c r="H3" s="16">
        <v>9.9700000000000006</v>
      </c>
      <c r="I3" s="17">
        <f>IF(H3="","",(IF($C$20&lt;25%,"n/a",IF(H3&lt;=($D$20+$A$20),H3,"Descartado"))))</f>
        <v>9.9700000000000006</v>
      </c>
    </row>
    <row r="4" spans="1:9" x14ac:dyDescent="0.25">
      <c r="A4" s="36"/>
      <c r="B4" s="33"/>
      <c r="C4" s="34"/>
      <c r="D4" s="34"/>
      <c r="E4" s="35"/>
      <c r="F4" s="35"/>
      <c r="G4" s="5" t="s">
        <v>264</v>
      </c>
      <c r="H4" s="16">
        <v>9.89</v>
      </c>
      <c r="I4" s="17">
        <f t="shared" ref="I4:I17" si="0">IF(H4="","",(IF($C$20&lt;25%,"n/a",IF(H4&lt;=($D$20+$A$20),H4,"Descartado"))))</f>
        <v>9.89</v>
      </c>
    </row>
    <row r="5" spans="1:9" x14ac:dyDescent="0.25">
      <c r="A5" s="36"/>
      <c r="B5" s="33"/>
      <c r="C5" s="34"/>
      <c r="D5" s="34"/>
      <c r="E5" s="35"/>
      <c r="F5" s="35"/>
      <c r="G5" s="5" t="s">
        <v>265</v>
      </c>
      <c r="H5" s="16">
        <v>10.5</v>
      </c>
      <c r="I5" s="17">
        <f t="shared" si="0"/>
        <v>10.5</v>
      </c>
    </row>
    <row r="6" spans="1:9" x14ac:dyDescent="0.25">
      <c r="A6" s="36"/>
      <c r="B6" s="33"/>
      <c r="C6" s="34"/>
      <c r="D6" s="34"/>
      <c r="E6" s="35"/>
      <c r="F6" s="35"/>
      <c r="G6" s="5" t="s">
        <v>266</v>
      </c>
      <c r="H6" s="16">
        <v>14.58</v>
      </c>
      <c r="I6" s="17">
        <f t="shared" si="0"/>
        <v>14.58</v>
      </c>
    </row>
    <row r="7" spans="1:9" x14ac:dyDescent="0.25">
      <c r="A7" s="36"/>
      <c r="B7" s="33"/>
      <c r="C7" s="34"/>
      <c r="D7" s="34"/>
      <c r="E7" s="35"/>
      <c r="F7" s="35"/>
      <c r="G7" s="5" t="s">
        <v>267</v>
      </c>
      <c r="H7" s="16">
        <v>14.6</v>
      </c>
      <c r="I7" s="17">
        <f t="shared" si="0"/>
        <v>14.6</v>
      </c>
    </row>
    <row r="8" spans="1:9" x14ac:dyDescent="0.25">
      <c r="A8" s="36"/>
      <c r="B8" s="33"/>
      <c r="C8" s="34"/>
      <c r="D8" s="34"/>
      <c r="E8" s="35"/>
      <c r="F8" s="35"/>
      <c r="G8" s="5" t="s">
        <v>268</v>
      </c>
      <c r="H8" s="16">
        <v>32</v>
      </c>
      <c r="I8" s="17">
        <f t="shared" si="0"/>
        <v>32</v>
      </c>
    </row>
    <row r="9" spans="1:9" x14ac:dyDescent="0.25">
      <c r="A9" s="36"/>
      <c r="B9" s="33"/>
      <c r="C9" s="34"/>
      <c r="D9" s="34"/>
      <c r="E9" s="35"/>
      <c r="F9" s="35"/>
      <c r="G9" s="5" t="s">
        <v>269</v>
      </c>
      <c r="H9" s="16">
        <v>26</v>
      </c>
      <c r="I9" s="17">
        <f t="shared" si="0"/>
        <v>26</v>
      </c>
    </row>
    <row r="10" spans="1:9" x14ac:dyDescent="0.25">
      <c r="A10" s="36"/>
      <c r="B10" s="33"/>
      <c r="C10" s="34"/>
      <c r="D10" s="34"/>
      <c r="E10" s="35"/>
      <c r="F10" s="35"/>
      <c r="G10" s="5" t="s">
        <v>270</v>
      </c>
      <c r="H10" s="16">
        <v>22.01</v>
      </c>
      <c r="I10" s="17">
        <f t="shared" si="0"/>
        <v>22.01</v>
      </c>
    </row>
    <row r="11" spans="1:9" x14ac:dyDescent="0.25">
      <c r="A11" s="36"/>
      <c r="B11" s="33"/>
      <c r="C11" s="34"/>
      <c r="D11" s="34"/>
      <c r="E11" s="35"/>
      <c r="F11" s="35"/>
      <c r="G11" s="5" t="s">
        <v>271</v>
      </c>
      <c r="H11" s="16">
        <v>26.5</v>
      </c>
      <c r="I11" s="17">
        <f t="shared" si="0"/>
        <v>26.5</v>
      </c>
    </row>
    <row r="12" spans="1:9" x14ac:dyDescent="0.25">
      <c r="A12" s="36"/>
      <c r="B12" s="33"/>
      <c r="C12" s="34"/>
      <c r="D12" s="34"/>
      <c r="E12" s="35"/>
      <c r="F12" s="35"/>
      <c r="G12" s="5" t="s">
        <v>272</v>
      </c>
      <c r="H12" s="16">
        <v>26.5</v>
      </c>
      <c r="I12" s="17">
        <f t="shared" si="0"/>
        <v>26.5</v>
      </c>
    </row>
    <row r="13" spans="1:9" x14ac:dyDescent="0.25">
      <c r="A13" s="36"/>
      <c r="B13" s="33"/>
      <c r="C13" s="34"/>
      <c r="D13" s="34"/>
      <c r="E13" s="35"/>
      <c r="F13" s="35"/>
      <c r="G13" s="5" t="s">
        <v>273</v>
      </c>
      <c r="H13" s="16">
        <v>26.51</v>
      </c>
      <c r="I13" s="17">
        <f t="shared" si="0"/>
        <v>26.51</v>
      </c>
    </row>
    <row r="14" spans="1:9" x14ac:dyDescent="0.25">
      <c r="A14" s="36"/>
      <c r="B14" s="33"/>
      <c r="C14" s="34"/>
      <c r="D14" s="34"/>
      <c r="E14" s="35"/>
      <c r="F14" s="35"/>
      <c r="G14" s="5" t="s">
        <v>274</v>
      </c>
      <c r="H14" s="16">
        <v>60</v>
      </c>
      <c r="I14" s="17" t="str">
        <f t="shared" si="0"/>
        <v>Descartado</v>
      </c>
    </row>
    <row r="15" spans="1:9" x14ac:dyDescent="0.25">
      <c r="A15" s="36"/>
      <c r="B15" s="33"/>
      <c r="C15" s="34"/>
      <c r="D15" s="34"/>
      <c r="E15" s="35"/>
      <c r="F15" s="35"/>
      <c r="G15" s="5" t="s">
        <v>275</v>
      </c>
      <c r="H15" s="16">
        <v>75</v>
      </c>
      <c r="I15" s="17" t="str">
        <f t="shared" si="0"/>
        <v>Descartado</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19.593705033073181</v>
      </c>
      <c r="B20" s="8">
        <f>COUNT(H3:H17)</f>
        <v>13</v>
      </c>
      <c r="C20" s="9">
        <f>IF(B20&lt;2,"n/a",(A20/D20))</f>
        <v>0.71929901002471297</v>
      </c>
      <c r="D20" s="10">
        <f>IFERROR(ROUND(AVERAGE(H3:H17),2),"")</f>
        <v>27.24</v>
      </c>
      <c r="E20" s="15">
        <f>IFERROR(ROUND(IF(B20&lt;2,"n/a",(IF(C20&lt;=25%,"n/a",AVERAGE(I3:I17)))),2),"n/a")</f>
        <v>19.91</v>
      </c>
      <c r="F20" s="10">
        <f>IFERROR(ROUND(MEDIAN(H3:H17),2),"")</f>
        <v>26</v>
      </c>
      <c r="G20" s="11" t="str">
        <f>IFERROR(INDEX(G3:G17,MATCH(H20,H3:H17,0)),"")</f>
        <v>09.022.398/0001-31 PE 17/2023 TRE AM</v>
      </c>
      <c r="H20" s="12">
        <f>F3</f>
        <v>9.89</v>
      </c>
    </row>
    <row r="22" spans="1:9" x14ac:dyDescent="0.25">
      <c r="G22" s="13" t="s">
        <v>20</v>
      </c>
      <c r="H22" s="14">
        <f>IF(C20&lt;=25%,D20,MIN(E20:F20))</f>
        <v>19.91</v>
      </c>
    </row>
    <row r="23" spans="1:9" x14ac:dyDescent="0.25">
      <c r="G23" s="13" t="s">
        <v>6</v>
      </c>
      <c r="H23" s="14">
        <f>ROUND(H22,2)*D3</f>
        <v>637120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46</v>
      </c>
      <c r="B3" s="32" t="s">
        <v>341</v>
      </c>
      <c r="C3" s="34" t="s">
        <v>7</v>
      </c>
      <c r="D3" s="34">
        <v>27000</v>
      </c>
      <c r="E3" s="35">
        <f>IF(C20&lt;=25%,D20,MIN(E20:F20))</f>
        <v>8.4</v>
      </c>
      <c r="F3" s="35">
        <f>MIN(H3:H17)</f>
        <v>2.94</v>
      </c>
      <c r="G3" s="5" t="s">
        <v>35</v>
      </c>
      <c r="H3" s="16">
        <v>2.94</v>
      </c>
      <c r="I3" s="17">
        <f>IF(H3="","",(IF($C$20&lt;25%,"n/a",IF(H3&lt;=($D$20+$A$20),H3,"Descartado"))))</f>
        <v>2.94</v>
      </c>
    </row>
    <row r="4" spans="1:9" x14ac:dyDescent="0.25">
      <c r="A4" s="36"/>
      <c r="B4" s="33"/>
      <c r="C4" s="34"/>
      <c r="D4" s="34"/>
      <c r="E4" s="35"/>
      <c r="F4" s="35"/>
      <c r="G4" s="5" t="s">
        <v>204</v>
      </c>
      <c r="H4" s="16">
        <v>4.76</v>
      </c>
      <c r="I4" s="17">
        <f t="shared" ref="I4:I17" si="0">IF(H4="","",(IF($C$20&lt;25%,"n/a",IF(H4&lt;=($D$20+$A$20),H4,"Descartado"))))</f>
        <v>4.76</v>
      </c>
    </row>
    <row r="5" spans="1:9" x14ac:dyDescent="0.25">
      <c r="A5" s="36"/>
      <c r="B5" s="33"/>
      <c r="C5" s="34"/>
      <c r="D5" s="34"/>
      <c r="E5" s="35"/>
      <c r="F5" s="35"/>
      <c r="G5" s="5" t="s">
        <v>277</v>
      </c>
      <c r="H5" s="16">
        <v>9.99</v>
      </c>
      <c r="I5" s="17">
        <f t="shared" si="0"/>
        <v>9.99</v>
      </c>
    </row>
    <row r="6" spans="1:9" x14ac:dyDescent="0.25">
      <c r="A6" s="36"/>
      <c r="B6" s="33"/>
      <c r="C6" s="34"/>
      <c r="D6" s="34"/>
      <c r="E6" s="35"/>
      <c r="F6" s="35"/>
      <c r="G6" s="5" t="s">
        <v>36</v>
      </c>
      <c r="H6" s="16">
        <v>12.9</v>
      </c>
      <c r="I6" s="17">
        <f t="shared" si="0"/>
        <v>12.9</v>
      </c>
    </row>
    <row r="7" spans="1:9" x14ac:dyDescent="0.25">
      <c r="A7" s="36"/>
      <c r="B7" s="33"/>
      <c r="C7" s="34"/>
      <c r="D7" s="34"/>
      <c r="E7" s="35"/>
      <c r="F7" s="35"/>
      <c r="G7" s="5" t="s">
        <v>278</v>
      </c>
      <c r="H7" s="16">
        <v>3.91</v>
      </c>
      <c r="I7" s="17">
        <f t="shared" si="0"/>
        <v>3.91</v>
      </c>
    </row>
    <row r="8" spans="1:9" x14ac:dyDescent="0.25">
      <c r="A8" s="36"/>
      <c r="B8" s="33"/>
      <c r="C8" s="34"/>
      <c r="D8" s="34"/>
      <c r="E8" s="35"/>
      <c r="F8" s="35"/>
      <c r="G8" s="5" t="s">
        <v>50</v>
      </c>
      <c r="H8" s="16">
        <v>12.07</v>
      </c>
      <c r="I8" s="17">
        <f t="shared" si="0"/>
        <v>12.07</v>
      </c>
    </row>
    <row r="9" spans="1:9" x14ac:dyDescent="0.25">
      <c r="A9" s="36"/>
      <c r="B9" s="33"/>
      <c r="C9" s="34"/>
      <c r="D9" s="34"/>
      <c r="E9" s="35"/>
      <c r="F9" s="35"/>
      <c r="G9" s="5" t="s">
        <v>279</v>
      </c>
      <c r="H9" s="16">
        <v>3.8</v>
      </c>
      <c r="I9" s="17">
        <f t="shared" si="0"/>
        <v>3.8</v>
      </c>
    </row>
    <row r="10" spans="1:9" x14ac:dyDescent="0.25">
      <c r="A10" s="36"/>
      <c r="B10" s="33"/>
      <c r="C10" s="34"/>
      <c r="D10" s="34"/>
      <c r="E10" s="35"/>
      <c r="F10" s="35"/>
      <c r="G10" s="5" t="s">
        <v>266</v>
      </c>
      <c r="H10" s="16">
        <v>3.89</v>
      </c>
      <c r="I10" s="17">
        <f t="shared" si="0"/>
        <v>3.89</v>
      </c>
    </row>
    <row r="11" spans="1:9" x14ac:dyDescent="0.25">
      <c r="A11" s="36"/>
      <c r="B11" s="33"/>
      <c r="C11" s="34"/>
      <c r="D11" s="34"/>
      <c r="E11" s="35"/>
      <c r="F11" s="35"/>
      <c r="G11" s="5" t="s">
        <v>265</v>
      </c>
      <c r="H11" s="16">
        <v>6.9</v>
      </c>
      <c r="I11" s="17">
        <f t="shared" si="0"/>
        <v>6.9</v>
      </c>
    </row>
    <row r="12" spans="1:9" x14ac:dyDescent="0.25">
      <c r="A12" s="36"/>
      <c r="B12" s="33"/>
      <c r="C12" s="34"/>
      <c r="D12" s="34"/>
      <c r="E12" s="35"/>
      <c r="F12" s="35"/>
      <c r="G12" s="5" t="s">
        <v>280</v>
      </c>
      <c r="H12" s="16">
        <v>7.79</v>
      </c>
      <c r="I12" s="17">
        <f t="shared" si="0"/>
        <v>7.79</v>
      </c>
    </row>
    <row r="13" spans="1:9" x14ac:dyDescent="0.25">
      <c r="A13" s="36"/>
      <c r="B13" s="33"/>
      <c r="C13" s="34"/>
      <c r="D13" s="34"/>
      <c r="E13" s="35"/>
      <c r="F13" s="35"/>
      <c r="G13" s="5" t="s">
        <v>267</v>
      </c>
      <c r="H13" s="16">
        <v>8.4</v>
      </c>
      <c r="I13" s="17">
        <f t="shared" si="0"/>
        <v>8.4</v>
      </c>
    </row>
    <row r="14" spans="1:9" x14ac:dyDescent="0.25">
      <c r="A14" s="36"/>
      <c r="B14" s="33"/>
      <c r="C14" s="34"/>
      <c r="D14" s="34"/>
      <c r="E14" s="35"/>
      <c r="F14" s="35"/>
      <c r="G14" s="5" t="s">
        <v>272</v>
      </c>
      <c r="H14" s="16">
        <v>16.600000000000001</v>
      </c>
      <c r="I14" s="17">
        <f t="shared" si="0"/>
        <v>16.600000000000001</v>
      </c>
    </row>
    <row r="15" spans="1:9" x14ac:dyDescent="0.25">
      <c r="A15" s="36"/>
      <c r="B15" s="33"/>
      <c r="C15" s="34"/>
      <c r="D15" s="34"/>
      <c r="E15" s="35"/>
      <c r="F15" s="35"/>
      <c r="G15" s="5" t="s">
        <v>281</v>
      </c>
      <c r="H15" s="16">
        <v>16.670000000000002</v>
      </c>
      <c r="I15" s="17">
        <f t="shared" si="0"/>
        <v>16.670000000000002</v>
      </c>
    </row>
    <row r="16" spans="1:9" x14ac:dyDescent="0.25">
      <c r="A16" s="36"/>
      <c r="B16" s="33"/>
      <c r="C16" s="34"/>
      <c r="D16" s="34"/>
      <c r="E16" s="35"/>
      <c r="F16" s="35"/>
      <c r="G16" s="5" t="s">
        <v>282</v>
      </c>
      <c r="H16" s="16">
        <v>25</v>
      </c>
      <c r="I16" s="17" t="str">
        <f t="shared" si="0"/>
        <v>Descartado</v>
      </c>
    </row>
    <row r="17" spans="1:9" x14ac:dyDescent="0.25">
      <c r="A17" s="36"/>
      <c r="B17" s="33"/>
      <c r="C17" s="34"/>
      <c r="D17" s="34"/>
      <c r="E17" s="35"/>
      <c r="F17" s="35"/>
      <c r="G17" s="5" t="s">
        <v>283</v>
      </c>
      <c r="H17" s="16">
        <v>25.9</v>
      </c>
      <c r="I17" s="17" t="str">
        <f t="shared" si="0"/>
        <v>Descartado</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7.4494584654571625</v>
      </c>
      <c r="B20" s="8">
        <f>COUNT(H3:H17)</f>
        <v>15</v>
      </c>
      <c r="C20" s="9">
        <f>IF(B20&lt;2,"n/a",(A20/D20))</f>
        <v>0.69168602279082292</v>
      </c>
      <c r="D20" s="10">
        <f>IFERROR(ROUND(AVERAGE(H3:H17),2),"")</f>
        <v>10.77</v>
      </c>
      <c r="E20" s="15">
        <f>IFERROR(ROUND(IF(B20&lt;2,"n/a",(IF(C20&lt;=25%,"n/a",AVERAGE(I3:I17)))),2),"n/a")</f>
        <v>8.51</v>
      </c>
      <c r="F20" s="10">
        <f>IFERROR(ROUND(MEDIAN(H3:H17),2),"")</f>
        <v>8.4</v>
      </c>
      <c r="G20" s="11" t="str">
        <f>IFERROR(INDEX(G3:G17,MATCH(H20,H3:H17,0)),"")</f>
        <v>KABUM</v>
      </c>
      <c r="H20" s="12">
        <f>F3</f>
        <v>2.94</v>
      </c>
    </row>
    <row r="22" spans="1:9" x14ac:dyDescent="0.25">
      <c r="G22" s="13" t="s">
        <v>20</v>
      </c>
      <c r="H22" s="14">
        <f>IF(C20&lt;=25%,D20,MIN(E20:F20))</f>
        <v>8.4</v>
      </c>
    </row>
    <row r="23" spans="1:9" x14ac:dyDescent="0.25">
      <c r="G23" s="13" t="s">
        <v>6</v>
      </c>
      <c r="H23" s="14">
        <f>ROUND(H22,2)*D3</f>
        <v>226800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47</v>
      </c>
      <c r="B3" s="32" t="s">
        <v>342</v>
      </c>
      <c r="C3" s="34" t="s">
        <v>7</v>
      </c>
      <c r="D3" s="34">
        <v>7500</v>
      </c>
      <c r="E3" s="35">
        <f>IF(C20&lt;=25%,D20,MIN(E20:F20))</f>
        <v>9.65</v>
      </c>
      <c r="F3" s="35">
        <f>MIN(H3:H17)</f>
        <v>7.87</v>
      </c>
      <c r="G3" s="5" t="s">
        <v>299</v>
      </c>
      <c r="H3" s="16">
        <v>7.87</v>
      </c>
      <c r="I3" s="17">
        <f>IF(H3="","",(IF($C$20&lt;25%,"n/a",IF(H3&lt;=($D$20+$A$20),H3,"Descartado"))))</f>
        <v>7.87</v>
      </c>
    </row>
    <row r="4" spans="1:9" x14ac:dyDescent="0.25">
      <c r="A4" s="36"/>
      <c r="B4" s="33"/>
      <c r="C4" s="34"/>
      <c r="D4" s="34"/>
      <c r="E4" s="35"/>
      <c r="F4" s="35"/>
      <c r="G4" s="5" t="s">
        <v>300</v>
      </c>
      <c r="H4" s="16">
        <v>8.2899999999999991</v>
      </c>
      <c r="I4" s="17">
        <f t="shared" ref="I4:I17" si="0">IF(H4="","",(IF($C$20&lt;25%,"n/a",IF(H4&lt;=($D$20+$A$20),H4,"Descartado"))))</f>
        <v>8.2899999999999991</v>
      </c>
    </row>
    <row r="5" spans="1:9" x14ac:dyDescent="0.25">
      <c r="A5" s="36"/>
      <c r="B5" s="33"/>
      <c r="C5" s="34"/>
      <c r="D5" s="34"/>
      <c r="E5" s="35"/>
      <c r="F5" s="35"/>
      <c r="G5" s="5" t="s">
        <v>301</v>
      </c>
      <c r="H5" s="16">
        <v>12.8</v>
      </c>
      <c r="I5" s="17">
        <f t="shared" si="0"/>
        <v>12.8</v>
      </c>
    </row>
    <row r="6" spans="1:9" x14ac:dyDescent="0.25">
      <c r="A6" s="36"/>
      <c r="B6" s="33"/>
      <c r="C6" s="34"/>
      <c r="D6" s="34"/>
      <c r="E6" s="35"/>
      <c r="F6" s="35"/>
      <c r="G6" s="5" t="s">
        <v>302</v>
      </c>
      <c r="H6" s="16">
        <v>15.74</v>
      </c>
      <c r="I6" s="17" t="str">
        <f t="shared" si="0"/>
        <v>Descartado</v>
      </c>
    </row>
    <row r="7" spans="1:9" x14ac:dyDescent="0.25">
      <c r="A7" s="36"/>
      <c r="B7" s="33"/>
      <c r="C7" s="34"/>
      <c r="D7" s="34"/>
      <c r="E7" s="35"/>
      <c r="F7" s="35"/>
      <c r="G7" s="5"/>
      <c r="H7" s="16"/>
      <c r="I7" s="17" t="str">
        <f t="shared" si="0"/>
        <v/>
      </c>
    </row>
    <row r="8" spans="1:9" x14ac:dyDescent="0.25">
      <c r="A8" s="36"/>
      <c r="B8" s="33"/>
      <c r="C8" s="34"/>
      <c r="D8" s="34"/>
      <c r="E8" s="35"/>
      <c r="F8" s="35"/>
      <c r="G8" s="5"/>
      <c r="H8" s="16"/>
      <c r="I8" s="17" t="str">
        <f t="shared" si="0"/>
        <v/>
      </c>
    </row>
    <row r="9" spans="1:9" x14ac:dyDescent="0.25">
      <c r="A9" s="36"/>
      <c r="B9" s="33"/>
      <c r="C9" s="34"/>
      <c r="D9" s="34"/>
      <c r="E9" s="35"/>
      <c r="F9" s="35"/>
      <c r="G9" s="5"/>
      <c r="H9" s="16"/>
      <c r="I9" s="17" t="str">
        <f t="shared" si="0"/>
        <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3.7738618593336621</v>
      </c>
      <c r="B20" s="8">
        <f>COUNT(H3:H17)</f>
        <v>4</v>
      </c>
      <c r="C20" s="9">
        <f>IF(B20&lt;2,"n/a",(A20/D20))</f>
        <v>0.33755472802626674</v>
      </c>
      <c r="D20" s="10">
        <f>IFERROR(ROUND(AVERAGE(H3:H17),2),"")</f>
        <v>11.18</v>
      </c>
      <c r="E20" s="15">
        <f>IFERROR(ROUND(IF(B20&lt;2,"n/a",(IF(C20&lt;=25%,"n/a",AVERAGE(I3:I17)))),2),"n/a")</f>
        <v>9.65</v>
      </c>
      <c r="F20" s="10">
        <f>IFERROR(ROUND(MEDIAN(H3:H17),2),"")</f>
        <v>10.55</v>
      </c>
      <c r="G20" s="11" t="str">
        <f>IFERROR(INDEX(G3:G17,MATCH(H20,H3:H17,0)),"")</f>
        <v xml:space="preserve">12.533.412/0001-76 PE 39/2022 TRE BA </v>
      </c>
      <c r="H20" s="12">
        <f>F3</f>
        <v>7.87</v>
      </c>
    </row>
    <row r="22" spans="1:9" x14ac:dyDescent="0.25">
      <c r="G22" s="13" t="s">
        <v>20</v>
      </c>
      <c r="H22" s="14">
        <f>IF(C20&lt;=25%,D20,MIN(E20:F20))</f>
        <v>9.65</v>
      </c>
    </row>
    <row r="23" spans="1:9" x14ac:dyDescent="0.25">
      <c r="G23" s="13" t="s">
        <v>6</v>
      </c>
      <c r="H23" s="14">
        <f>ROUND(H22,2)*D3</f>
        <v>72375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48</v>
      </c>
      <c r="B3" s="32" t="s">
        <v>303</v>
      </c>
      <c r="C3" s="34" t="s">
        <v>304</v>
      </c>
      <c r="D3" s="34">
        <v>15000</v>
      </c>
      <c r="E3" s="35">
        <f>IF(C20&lt;=25%,D20,MIN(E20:F20))</f>
        <v>4.17</v>
      </c>
      <c r="F3" s="35">
        <f>MIN(H3:H17)</f>
        <v>3.24</v>
      </c>
      <c r="G3" s="5" t="s">
        <v>305</v>
      </c>
      <c r="H3" s="16">
        <v>3.24</v>
      </c>
      <c r="I3" s="17">
        <f>IF(H3="","",(IF($C$20&lt;25%,"n/a",IF(H3&lt;=($D$20+$A$20),H3,"Descartado"))))</f>
        <v>3.24</v>
      </c>
    </row>
    <row r="4" spans="1:9" x14ac:dyDescent="0.25">
      <c r="A4" s="36"/>
      <c r="B4" s="33"/>
      <c r="C4" s="34"/>
      <c r="D4" s="34"/>
      <c r="E4" s="35"/>
      <c r="F4" s="35"/>
      <c r="G4" s="5" t="s">
        <v>306</v>
      </c>
      <c r="H4" s="16">
        <v>3.57</v>
      </c>
      <c r="I4" s="17">
        <f t="shared" ref="I4:I17" si="0">IF(H4="","",(IF($C$20&lt;25%,"n/a",IF(H4&lt;=($D$20+$A$20),H4,"Descartado"))))</f>
        <v>3.57</v>
      </c>
    </row>
    <row r="5" spans="1:9" x14ac:dyDescent="0.25">
      <c r="A5" s="36"/>
      <c r="B5" s="33"/>
      <c r="C5" s="34"/>
      <c r="D5" s="34"/>
      <c r="E5" s="35"/>
      <c r="F5" s="35"/>
      <c r="G5" s="5" t="s">
        <v>307</v>
      </c>
      <c r="H5" s="16">
        <v>3.95</v>
      </c>
      <c r="I5" s="17">
        <f t="shared" si="0"/>
        <v>3.95</v>
      </c>
    </row>
    <row r="6" spans="1:9" x14ac:dyDescent="0.25">
      <c r="A6" s="36"/>
      <c r="B6" s="33"/>
      <c r="C6" s="34"/>
      <c r="D6" s="34"/>
      <c r="E6" s="35"/>
      <c r="F6" s="35"/>
      <c r="G6" s="5" t="s">
        <v>308</v>
      </c>
      <c r="H6" s="16">
        <v>4.13</v>
      </c>
      <c r="I6" s="17">
        <f t="shared" si="0"/>
        <v>4.13</v>
      </c>
    </row>
    <row r="7" spans="1:9" x14ac:dyDescent="0.25">
      <c r="A7" s="36"/>
      <c r="B7" s="33"/>
      <c r="C7" s="34"/>
      <c r="D7" s="34"/>
      <c r="E7" s="35"/>
      <c r="F7" s="35"/>
      <c r="G7" s="5" t="s">
        <v>309</v>
      </c>
      <c r="H7" s="16">
        <v>4.1500000000000004</v>
      </c>
      <c r="I7" s="17">
        <f t="shared" si="0"/>
        <v>4.1500000000000004</v>
      </c>
    </row>
    <row r="8" spans="1:9" x14ac:dyDescent="0.25">
      <c r="A8" s="36"/>
      <c r="B8" s="33"/>
      <c r="C8" s="34"/>
      <c r="D8" s="34"/>
      <c r="E8" s="35"/>
      <c r="F8" s="35"/>
      <c r="G8" s="5" t="s">
        <v>310</v>
      </c>
      <c r="H8" s="16">
        <v>7.17</v>
      </c>
      <c r="I8" s="17">
        <f t="shared" si="0"/>
        <v>7.17</v>
      </c>
    </row>
    <row r="9" spans="1:9" x14ac:dyDescent="0.25">
      <c r="A9" s="36"/>
      <c r="B9" s="33"/>
      <c r="C9" s="34"/>
      <c r="D9" s="34"/>
      <c r="E9" s="35"/>
      <c r="F9" s="35"/>
      <c r="G9" s="5" t="s">
        <v>311</v>
      </c>
      <c r="H9" s="16">
        <v>4.1900000000000004</v>
      </c>
      <c r="I9" s="17">
        <f t="shared" si="0"/>
        <v>4.1900000000000004</v>
      </c>
    </row>
    <row r="10" spans="1:9" x14ac:dyDescent="0.25">
      <c r="A10" s="36"/>
      <c r="B10" s="33"/>
      <c r="C10" s="34"/>
      <c r="D10" s="34"/>
      <c r="E10" s="35"/>
      <c r="F10" s="35"/>
      <c r="G10" s="5" t="s">
        <v>312</v>
      </c>
      <c r="H10" s="16">
        <v>5.98</v>
      </c>
      <c r="I10" s="17">
        <f t="shared" si="0"/>
        <v>5.98</v>
      </c>
    </row>
    <row r="11" spans="1:9" x14ac:dyDescent="0.25">
      <c r="A11" s="36"/>
      <c r="B11" s="33"/>
      <c r="C11" s="34"/>
      <c r="D11" s="34"/>
      <c r="E11" s="35"/>
      <c r="F11" s="35"/>
      <c r="G11" s="5" t="s">
        <v>313</v>
      </c>
      <c r="H11" s="16">
        <v>8.1999999999999993</v>
      </c>
      <c r="I11" s="17" t="str">
        <f t="shared" si="0"/>
        <v>Descartado</v>
      </c>
    </row>
    <row r="12" spans="1:9" x14ac:dyDescent="0.25">
      <c r="A12" s="36"/>
      <c r="B12" s="33"/>
      <c r="C12" s="34"/>
      <c r="D12" s="34"/>
      <c r="E12" s="35"/>
      <c r="F12" s="35"/>
      <c r="G12" s="5" t="s">
        <v>314</v>
      </c>
      <c r="H12" s="16">
        <v>10.25</v>
      </c>
      <c r="I12" s="17" t="str">
        <f t="shared" si="0"/>
        <v>Descartado</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2.3456676377242092</v>
      </c>
      <c r="B20" s="8">
        <f>COUNT(H3:H17)</f>
        <v>10</v>
      </c>
      <c r="C20" s="9">
        <f>IF(B20&lt;2,"n/a",(A20/D20))</f>
        <v>0.42804153973069509</v>
      </c>
      <c r="D20" s="10">
        <f>IFERROR(ROUND(AVERAGE(H3:H17),2),"")</f>
        <v>5.48</v>
      </c>
      <c r="E20" s="15">
        <f>IFERROR(ROUND(IF(B20&lt;2,"n/a",(IF(C20&lt;=25%,"n/a",AVERAGE(I3:I17)))),2),"n/a")</f>
        <v>4.55</v>
      </c>
      <c r="F20" s="10">
        <f>IFERROR(ROUND(MEDIAN(H3:H17),2),"")</f>
        <v>4.17</v>
      </c>
      <c r="G20" s="11" t="str">
        <f>IFERROR(INDEX(G3:G17,MATCH(H20,H3:H17,0)),"")</f>
        <v>24.827.291/0001-54 PE 11/2023 TRE-BA</v>
      </c>
      <c r="H20" s="12">
        <f>F3</f>
        <v>3.24</v>
      </c>
    </row>
    <row r="22" spans="1:9" x14ac:dyDescent="0.25">
      <c r="G22" s="13" t="s">
        <v>20</v>
      </c>
      <c r="H22" s="14">
        <f>IF(C20&lt;=25%,D20,MIN(E20:F20))</f>
        <v>4.17</v>
      </c>
    </row>
    <row r="23" spans="1:9" x14ac:dyDescent="0.25">
      <c r="G23" s="13" t="s">
        <v>6</v>
      </c>
      <c r="H23" s="14">
        <f>ROUND(H22,2)*D3</f>
        <v>62550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49</v>
      </c>
      <c r="B3" s="32" t="s">
        <v>315</v>
      </c>
      <c r="C3" s="34" t="s">
        <v>304</v>
      </c>
      <c r="D3" s="34">
        <v>15000</v>
      </c>
      <c r="E3" s="35">
        <f>IF(C20&lt;=25%,D20,MIN(E20:F20))</f>
        <v>6.56</v>
      </c>
      <c r="F3" s="35">
        <f>MIN(H3:H17)</f>
        <v>4.6900000000000004</v>
      </c>
      <c r="G3" s="5" t="s">
        <v>316</v>
      </c>
      <c r="H3" s="16">
        <v>6.73</v>
      </c>
      <c r="I3" s="17">
        <f>IF(H3="","",(IF($C$20&lt;25%,"n/a",IF(H3&lt;=($D$20+$A$20),H3,"Descartado"))))</f>
        <v>6.73</v>
      </c>
    </row>
    <row r="4" spans="1:9" x14ac:dyDescent="0.25">
      <c r="A4" s="36"/>
      <c r="B4" s="33"/>
      <c r="C4" s="34"/>
      <c r="D4" s="34"/>
      <c r="E4" s="35"/>
      <c r="F4" s="35"/>
      <c r="G4" s="5" t="s">
        <v>317</v>
      </c>
      <c r="H4" s="16">
        <v>5.94</v>
      </c>
      <c r="I4" s="17">
        <f t="shared" ref="I4:I17" si="0">IF(H4="","",(IF($C$20&lt;25%,"n/a",IF(H4&lt;=($D$20+$A$20),H4,"Descartado"))))</f>
        <v>5.94</v>
      </c>
    </row>
    <row r="5" spans="1:9" x14ac:dyDescent="0.25">
      <c r="A5" s="36"/>
      <c r="B5" s="33"/>
      <c r="C5" s="34"/>
      <c r="D5" s="34"/>
      <c r="E5" s="35"/>
      <c r="F5" s="35"/>
      <c r="G5" s="5" t="s">
        <v>318</v>
      </c>
      <c r="H5" s="16">
        <v>7.95</v>
      </c>
      <c r="I5" s="17">
        <f t="shared" si="0"/>
        <v>7.95</v>
      </c>
    </row>
    <row r="6" spans="1:9" x14ac:dyDescent="0.25">
      <c r="A6" s="36"/>
      <c r="B6" s="33"/>
      <c r="C6" s="34"/>
      <c r="D6" s="34"/>
      <c r="E6" s="35"/>
      <c r="F6" s="35"/>
      <c r="G6" s="5" t="s">
        <v>319</v>
      </c>
      <c r="H6" s="16">
        <v>8.9499999999999993</v>
      </c>
      <c r="I6" s="17">
        <f t="shared" si="0"/>
        <v>8.9499999999999993</v>
      </c>
    </row>
    <row r="7" spans="1:9" x14ac:dyDescent="0.25">
      <c r="A7" s="36"/>
      <c r="B7" s="33"/>
      <c r="C7" s="34"/>
      <c r="D7" s="34"/>
      <c r="E7" s="35"/>
      <c r="F7" s="35"/>
      <c r="G7" s="5" t="s">
        <v>77</v>
      </c>
      <c r="H7" s="16">
        <v>11.77</v>
      </c>
      <c r="I7" s="17" t="str">
        <f t="shared" si="0"/>
        <v>Descartado</v>
      </c>
    </row>
    <row r="8" spans="1:9" x14ac:dyDescent="0.25">
      <c r="A8" s="36"/>
      <c r="B8" s="33"/>
      <c r="C8" s="34"/>
      <c r="D8" s="34"/>
      <c r="E8" s="35"/>
      <c r="F8" s="35"/>
      <c r="G8" s="5" t="s">
        <v>320</v>
      </c>
      <c r="H8" s="16">
        <v>4.6900000000000004</v>
      </c>
      <c r="I8" s="17">
        <f t="shared" si="0"/>
        <v>4.6900000000000004</v>
      </c>
    </row>
    <row r="9" spans="1:9" x14ac:dyDescent="0.25">
      <c r="A9" s="36"/>
      <c r="B9" s="33"/>
      <c r="C9" s="34"/>
      <c r="D9" s="34"/>
      <c r="E9" s="35"/>
      <c r="F9" s="35"/>
      <c r="G9" s="5" t="s">
        <v>321</v>
      </c>
      <c r="H9" s="16">
        <v>5.0999999999999996</v>
      </c>
      <c r="I9" s="17">
        <f t="shared" si="0"/>
        <v>5.0999999999999996</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2.4816785793951164</v>
      </c>
      <c r="B20" s="8">
        <f>COUNT(H3:H17)</f>
        <v>7</v>
      </c>
      <c r="C20" s="9">
        <f>IF(B20&lt;2,"n/a",(A20/D20))</f>
        <v>0.33995596978015291</v>
      </c>
      <c r="D20" s="10">
        <f>IFERROR(ROUND(AVERAGE(H3:H17),2),"")</f>
        <v>7.3</v>
      </c>
      <c r="E20" s="15">
        <f>IFERROR(ROUND(IF(B20&lt;2,"n/a",(IF(C20&lt;=25%,"n/a",AVERAGE(I3:I17)))),2),"n/a")</f>
        <v>6.56</v>
      </c>
      <c r="F20" s="10">
        <f>IFERROR(ROUND(MEDIAN(H3:H17),2),"")</f>
        <v>6.73</v>
      </c>
      <c r="G20" s="11" t="str">
        <f>IFERROR(INDEX(G3:G17,MATCH(H20,H3:H17,0)),"")</f>
        <v>AMAR TRANSPORTES DE CARGAS</v>
      </c>
      <c r="H20" s="12">
        <f>F3</f>
        <v>4.6900000000000004</v>
      </c>
    </row>
    <row r="22" spans="1:9" x14ac:dyDescent="0.25">
      <c r="G22" s="13" t="s">
        <v>20</v>
      </c>
      <c r="H22" s="14">
        <f>IF(C20&lt;=25%,D20,MIN(E20:F20))</f>
        <v>6.56</v>
      </c>
    </row>
    <row r="23" spans="1:9" x14ac:dyDescent="0.25">
      <c r="G23" s="13" t="s">
        <v>6</v>
      </c>
      <c r="H23" s="14">
        <f>ROUND(H22,2)*D3</f>
        <v>98400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5</v>
      </c>
      <c r="B3" s="32" t="s">
        <v>67</v>
      </c>
      <c r="C3" s="34" t="s">
        <v>39</v>
      </c>
      <c r="D3" s="34">
        <v>500</v>
      </c>
      <c r="E3" s="35">
        <f>IF(C20&lt;=25%,D20,MIN(E20:F20))</f>
        <v>46.93</v>
      </c>
      <c r="F3" s="35">
        <f>MIN(H3:H17)</f>
        <v>17.3</v>
      </c>
      <c r="G3" s="5" t="s">
        <v>50</v>
      </c>
      <c r="H3" s="16">
        <v>63.32</v>
      </c>
      <c r="I3" s="17">
        <f>IF(H3="","",(IF($C$20&lt;25%,"n/a",IF(H3&lt;=($D$20+$A$20),H3,"Descartado"))))</f>
        <v>63.32</v>
      </c>
    </row>
    <row r="4" spans="1:9" x14ac:dyDescent="0.25">
      <c r="A4" s="36"/>
      <c r="B4" s="33"/>
      <c r="C4" s="34"/>
      <c r="D4" s="34"/>
      <c r="E4" s="35"/>
      <c r="F4" s="35"/>
      <c r="G4" s="5" t="s">
        <v>68</v>
      </c>
      <c r="H4" s="16">
        <v>63.6</v>
      </c>
      <c r="I4" s="17">
        <f t="shared" ref="I4:I17" si="0">IF(H4="","",(IF($C$20&lt;25%,"n/a",IF(H4&lt;=($D$20+$A$20),H4,"Descartado"))))</f>
        <v>63.6</v>
      </c>
    </row>
    <row r="5" spans="1:9" x14ac:dyDescent="0.25">
      <c r="A5" s="36"/>
      <c r="B5" s="33"/>
      <c r="C5" s="34"/>
      <c r="D5" s="34"/>
      <c r="E5" s="35"/>
      <c r="F5" s="35"/>
      <c r="G5" s="5" t="s">
        <v>36</v>
      </c>
      <c r="H5" s="16">
        <v>59</v>
      </c>
      <c r="I5" s="17">
        <f t="shared" si="0"/>
        <v>59</v>
      </c>
    </row>
    <row r="6" spans="1:9" x14ac:dyDescent="0.25">
      <c r="A6" s="36"/>
      <c r="B6" s="33"/>
      <c r="C6" s="34"/>
      <c r="D6" s="34"/>
      <c r="E6" s="35"/>
      <c r="F6" s="35"/>
      <c r="G6" s="5" t="s">
        <v>69</v>
      </c>
      <c r="H6" s="16">
        <v>65.86</v>
      </c>
      <c r="I6" s="17">
        <f t="shared" si="0"/>
        <v>65.86</v>
      </c>
    </row>
    <row r="7" spans="1:9" x14ac:dyDescent="0.25">
      <c r="A7" s="36"/>
      <c r="B7" s="33"/>
      <c r="C7" s="34"/>
      <c r="D7" s="34"/>
      <c r="E7" s="35"/>
      <c r="F7" s="35"/>
      <c r="G7" s="5" t="s">
        <v>70</v>
      </c>
      <c r="H7" s="16">
        <v>62.4</v>
      </c>
      <c r="I7" s="17">
        <f t="shared" si="0"/>
        <v>62.4</v>
      </c>
    </row>
    <row r="8" spans="1:9" x14ac:dyDescent="0.25">
      <c r="A8" s="36"/>
      <c r="B8" s="33"/>
      <c r="C8" s="34"/>
      <c r="D8" s="34"/>
      <c r="E8" s="35"/>
      <c r="F8" s="35"/>
      <c r="G8" s="5" t="s">
        <v>71</v>
      </c>
      <c r="H8" s="16">
        <v>55.86</v>
      </c>
      <c r="I8" s="17">
        <f t="shared" si="0"/>
        <v>55.86</v>
      </c>
    </row>
    <row r="9" spans="1:9" x14ac:dyDescent="0.25">
      <c r="A9" s="36"/>
      <c r="B9" s="33"/>
      <c r="C9" s="34"/>
      <c r="D9" s="34"/>
      <c r="E9" s="35"/>
      <c r="F9" s="35"/>
      <c r="G9" s="5" t="s">
        <v>72</v>
      </c>
      <c r="H9" s="16">
        <v>17.3</v>
      </c>
      <c r="I9" s="17">
        <f t="shared" si="0"/>
        <v>17.3</v>
      </c>
    </row>
    <row r="10" spans="1:9" x14ac:dyDescent="0.25">
      <c r="A10" s="36"/>
      <c r="B10" s="33"/>
      <c r="C10" s="34"/>
      <c r="D10" s="34"/>
      <c r="E10" s="35"/>
      <c r="F10" s="35"/>
      <c r="G10" s="5" t="s">
        <v>73</v>
      </c>
      <c r="H10" s="16">
        <v>17.760000000000002</v>
      </c>
      <c r="I10" s="17">
        <f t="shared" si="0"/>
        <v>17.760000000000002</v>
      </c>
    </row>
    <row r="11" spans="1:9" x14ac:dyDescent="0.25">
      <c r="A11" s="36"/>
      <c r="B11" s="33"/>
      <c r="C11" s="34"/>
      <c r="D11" s="34"/>
      <c r="E11" s="35"/>
      <c r="F11" s="35"/>
      <c r="G11" s="5" t="s">
        <v>72</v>
      </c>
      <c r="H11" s="16">
        <v>17.3</v>
      </c>
      <c r="I11" s="17">
        <f t="shared" si="0"/>
        <v>17.3</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22.294559874552355</v>
      </c>
      <c r="B20" s="8">
        <f>COUNT(H3:H17)</f>
        <v>9</v>
      </c>
      <c r="C20" s="9">
        <f>IF(B20&lt;2,"n/a",(A20/D20))</f>
        <v>0.47505987373859698</v>
      </c>
      <c r="D20" s="10">
        <f>IFERROR(ROUND(AVERAGE(H3:H17),2),"")</f>
        <v>46.93</v>
      </c>
      <c r="E20" s="15">
        <f>IFERROR(ROUND(IF(B20&lt;2,"n/a",(IF(C20&lt;=25%,"n/a",AVERAGE(I3:I17)))),2),"n/a")</f>
        <v>46.93</v>
      </c>
      <c r="F20" s="10">
        <f>IFERROR(ROUND(MEDIAN(H3:H17),2),"")</f>
        <v>59</v>
      </c>
      <c r="G20" s="11" t="str">
        <f>IFERROR(INDEX(G3:G17,MATCH(H20,H3:H17,0)),"")</f>
        <v>PREVENTIVA INFORMÁTICA COMERCIAL</v>
      </c>
      <c r="H20" s="12">
        <f>F3</f>
        <v>17.3</v>
      </c>
    </row>
    <row r="22" spans="1:9" x14ac:dyDescent="0.25">
      <c r="G22" s="13" t="s">
        <v>20</v>
      </c>
      <c r="H22" s="14">
        <f>IF(C20&lt;=25%,D20,MIN(E20:F20))</f>
        <v>46.93</v>
      </c>
    </row>
    <row r="23" spans="1:9" x14ac:dyDescent="0.25">
      <c r="G23" s="13" t="s">
        <v>6</v>
      </c>
      <c r="H23" s="14">
        <f>ROUND(H22,2)*D3</f>
        <v>23465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29" t="s">
        <v>1</v>
      </c>
      <c r="B2" s="29" t="s">
        <v>2</v>
      </c>
      <c r="C2" s="29" t="s">
        <v>3</v>
      </c>
      <c r="D2" s="29" t="s">
        <v>4</v>
      </c>
      <c r="E2" s="29" t="s">
        <v>9</v>
      </c>
      <c r="F2" s="29" t="s">
        <v>10</v>
      </c>
      <c r="G2" s="29" t="s">
        <v>11</v>
      </c>
      <c r="H2" s="29" t="s">
        <v>12</v>
      </c>
      <c r="I2" s="29" t="s">
        <v>13</v>
      </c>
    </row>
    <row r="3" spans="1:9" x14ac:dyDescent="0.25">
      <c r="A3" s="36">
        <v>50</v>
      </c>
      <c r="B3" s="32" t="s">
        <v>329</v>
      </c>
      <c r="C3" s="34" t="s">
        <v>7</v>
      </c>
      <c r="D3" s="34">
        <v>30000</v>
      </c>
      <c r="E3" s="35">
        <f>IF(C20&lt;=25%,D20,MIN(E20:F20))</f>
        <v>3.39</v>
      </c>
      <c r="F3" s="35">
        <f>MIN(H3:H17)</f>
        <v>1.75</v>
      </c>
      <c r="G3" s="5" t="s">
        <v>330</v>
      </c>
      <c r="H3" s="16">
        <v>3</v>
      </c>
      <c r="I3" s="17">
        <f>IF(H3="","",(IF($C$20&lt;25%,"n/a",IF(H3&lt;=($D$20+$A$20),H3,"Descartado"))))</f>
        <v>3</v>
      </c>
    </row>
    <row r="4" spans="1:9" x14ac:dyDescent="0.25">
      <c r="A4" s="36"/>
      <c r="B4" s="33"/>
      <c r="C4" s="34"/>
      <c r="D4" s="34"/>
      <c r="E4" s="35"/>
      <c r="F4" s="35"/>
      <c r="G4" s="5" t="s">
        <v>331</v>
      </c>
      <c r="H4" s="16">
        <v>3.8</v>
      </c>
      <c r="I4" s="17">
        <f t="shared" ref="I4:I17" si="0">IF(H4="","",(IF($C$20&lt;25%,"n/a",IF(H4&lt;=($D$20+$A$20),H4,"Descartado"))))</f>
        <v>3.8</v>
      </c>
    </row>
    <row r="5" spans="1:9" x14ac:dyDescent="0.25">
      <c r="A5" s="36"/>
      <c r="B5" s="33"/>
      <c r="C5" s="34"/>
      <c r="D5" s="34"/>
      <c r="E5" s="35"/>
      <c r="F5" s="35"/>
      <c r="G5" s="5" t="s">
        <v>332</v>
      </c>
      <c r="H5" s="16">
        <v>71</v>
      </c>
      <c r="I5" s="17" t="str">
        <f t="shared" si="0"/>
        <v>Descartado</v>
      </c>
    </row>
    <row r="6" spans="1:9" x14ac:dyDescent="0.25">
      <c r="A6" s="36"/>
      <c r="B6" s="33"/>
      <c r="C6" s="34"/>
      <c r="D6" s="34"/>
      <c r="E6" s="35"/>
      <c r="F6" s="35"/>
      <c r="G6" s="5" t="s">
        <v>216</v>
      </c>
      <c r="H6" s="16">
        <v>1.75</v>
      </c>
      <c r="I6" s="17">
        <f t="shared" si="0"/>
        <v>1.75</v>
      </c>
    </row>
    <row r="7" spans="1:9" x14ac:dyDescent="0.25">
      <c r="A7" s="36"/>
      <c r="B7" s="33"/>
      <c r="C7" s="34"/>
      <c r="D7" s="34"/>
      <c r="E7" s="35"/>
      <c r="F7" s="35"/>
      <c r="G7" s="5" t="s">
        <v>333</v>
      </c>
      <c r="H7" s="16">
        <v>5.9</v>
      </c>
      <c r="I7" s="17">
        <f t="shared" si="0"/>
        <v>5.9</v>
      </c>
    </row>
    <row r="8" spans="1:9" x14ac:dyDescent="0.25">
      <c r="A8" s="36"/>
      <c r="B8" s="33"/>
      <c r="C8" s="34"/>
      <c r="D8" s="34"/>
      <c r="E8" s="35"/>
      <c r="F8" s="35"/>
      <c r="G8" s="5" t="s">
        <v>50</v>
      </c>
      <c r="H8" s="16">
        <v>2.56</v>
      </c>
      <c r="I8" s="17">
        <f t="shared" si="0"/>
        <v>2.56</v>
      </c>
    </row>
    <row r="9" spans="1:9" x14ac:dyDescent="0.25">
      <c r="A9" s="36"/>
      <c r="B9" s="33"/>
      <c r="C9" s="34"/>
      <c r="D9" s="34"/>
      <c r="E9" s="35"/>
      <c r="F9" s="35"/>
      <c r="G9" s="5" t="s">
        <v>334</v>
      </c>
      <c r="H9" s="16">
        <v>3.92</v>
      </c>
      <c r="I9" s="17">
        <f t="shared" si="0"/>
        <v>3.92</v>
      </c>
    </row>
    <row r="10" spans="1:9" x14ac:dyDescent="0.25">
      <c r="A10" s="36"/>
      <c r="B10" s="33"/>
      <c r="C10" s="34"/>
      <c r="D10" s="34"/>
      <c r="E10" s="35"/>
      <c r="F10" s="35"/>
      <c r="G10" s="5" t="s">
        <v>199</v>
      </c>
      <c r="H10" s="16">
        <v>2.8</v>
      </c>
      <c r="I10" s="17">
        <f t="shared" si="0"/>
        <v>2.8</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29" t="s">
        <v>14</v>
      </c>
      <c r="B19" s="29" t="s">
        <v>15</v>
      </c>
      <c r="C19" s="29" t="s">
        <v>25</v>
      </c>
      <c r="D19" s="29" t="s">
        <v>16</v>
      </c>
      <c r="E19" s="29" t="s">
        <v>17</v>
      </c>
      <c r="F19" s="29" t="s">
        <v>18</v>
      </c>
      <c r="G19" s="30" t="s">
        <v>19</v>
      </c>
      <c r="H19" s="30"/>
    </row>
    <row r="20" spans="1:9" x14ac:dyDescent="0.25">
      <c r="A20" s="8">
        <f>IF(B20&lt;2,"n/a",(_xlfn.STDEV.S(H3:H17)))</f>
        <v>23.935481395678199</v>
      </c>
      <c r="B20" s="8">
        <f>COUNT(H3:H17)</f>
        <v>8</v>
      </c>
      <c r="C20" s="9">
        <f>IF(B20&lt;2,"n/a",(A20/D20))</f>
        <v>2.0215778205809292</v>
      </c>
      <c r="D20" s="10">
        <f>IFERROR(ROUND(AVERAGE(H3:H17),2),"")</f>
        <v>11.84</v>
      </c>
      <c r="E20" s="15">
        <f>IFERROR(ROUND(IF(B20&lt;2,"n/a",(IF(C20&lt;=25%,"n/a",AVERAGE(I3:I17)))),2),"n/a")</f>
        <v>3.39</v>
      </c>
      <c r="F20" s="10">
        <f>IFERROR(ROUND(MEDIAN(H3:H17),2),"")</f>
        <v>3.4</v>
      </c>
      <c r="G20" s="11" t="str">
        <f>IFERROR(INDEX(G3:G17,MATCH(H20,H3:H17,0)),"")</f>
        <v>OCEAN B2B</v>
      </c>
      <c r="H20" s="12">
        <f>F3</f>
        <v>1.75</v>
      </c>
    </row>
    <row r="22" spans="1:9" x14ac:dyDescent="0.25">
      <c r="G22" s="13" t="s">
        <v>20</v>
      </c>
      <c r="H22" s="14">
        <f>IF(C20&lt;=25%,D20,MIN(E20:F20))</f>
        <v>3.39</v>
      </c>
    </row>
    <row r="23" spans="1:9" x14ac:dyDescent="0.25">
      <c r="G23" s="13" t="s">
        <v>6</v>
      </c>
      <c r="H23" s="14">
        <f>ROUND(H22,2)*D3</f>
        <v>101700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view="pageBreakPreview" zoomScaleNormal="100" zoomScaleSheetLayoutView="100" workbookViewId="0">
      <selection activeCell="I61" sqref="I61"/>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7" t="s">
        <v>0</v>
      </c>
      <c r="B1" s="37"/>
      <c r="C1" s="37"/>
      <c r="D1" s="37"/>
      <c r="E1" s="37"/>
      <c r="F1" s="37"/>
      <c r="G1" s="37"/>
    </row>
    <row r="2" spans="1:7" ht="24" x14ac:dyDescent="0.25">
      <c r="A2" s="6" t="s">
        <v>29</v>
      </c>
      <c r="B2" s="6" t="s">
        <v>1</v>
      </c>
      <c r="C2" s="6" t="s">
        <v>2</v>
      </c>
      <c r="D2" s="6" t="s">
        <v>3</v>
      </c>
      <c r="E2" s="6" t="s">
        <v>4</v>
      </c>
      <c r="F2" s="6" t="s">
        <v>5</v>
      </c>
      <c r="G2" s="6" t="s">
        <v>30</v>
      </c>
    </row>
    <row r="3" spans="1:7" ht="240" x14ac:dyDescent="0.25">
      <c r="A3" s="25" t="s">
        <v>34</v>
      </c>
      <c r="B3" s="25">
        <f>Item1!A3</f>
        <v>1</v>
      </c>
      <c r="C3" s="27" t="str">
        <f>Item1!B3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D3" s="25" t="str">
        <f>Item1!C3</f>
        <v>caixa</v>
      </c>
      <c r="E3" s="25">
        <f>Item1!D3</f>
        <v>1250</v>
      </c>
      <c r="F3" s="26">
        <f>Item1!E3</f>
        <v>37.53</v>
      </c>
      <c r="G3" s="26">
        <f>ROUND((E3*F3),2)</f>
        <v>46912.5</v>
      </c>
    </row>
    <row r="4" spans="1:7" ht="240" x14ac:dyDescent="0.25">
      <c r="A4" s="25" t="s">
        <v>34</v>
      </c>
      <c r="B4" s="25">
        <f>Item2!A3</f>
        <v>2</v>
      </c>
      <c r="C4" s="27" t="str">
        <f>Item2!B3</f>
        <v>Caneta esferográfica
Cor vermelha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D4" s="25" t="str">
        <f>Item2!C3</f>
        <v>caixa</v>
      </c>
      <c r="E4" s="25">
        <f>Item2!D3</f>
        <v>300</v>
      </c>
      <c r="F4" s="26">
        <f>Item2!E3</f>
        <v>37.53</v>
      </c>
      <c r="G4" s="26">
        <f t="shared" ref="G4:G29" si="0">ROUND((E4*F4),2)</f>
        <v>11259</v>
      </c>
    </row>
    <row r="5" spans="1:7" ht="90" x14ac:dyDescent="0.25">
      <c r="A5" s="25" t="s">
        <v>34</v>
      </c>
      <c r="B5" s="25">
        <f>Item3!A3</f>
        <v>3</v>
      </c>
      <c r="C5" s="27" t="str">
        <f>Item3!B3</f>
        <v>Etiqueta auto adesiva
Folha em formato A4;
Gramatura 75 g/m2
Papel couchê removível;
Cor branca,
Folha contendo 1 etiqueta
Acondicionadas em embalagens com 25 folhas</v>
      </c>
      <c r="D5" s="25" t="str">
        <f>Item3!C3</f>
        <v>caixa</v>
      </c>
      <c r="E5" s="25">
        <f>Item3!D3</f>
        <v>2000</v>
      </c>
      <c r="F5" s="26">
        <f>Item3!E3</f>
        <v>24.46</v>
      </c>
      <c r="G5" s="26">
        <f t="shared" si="0"/>
        <v>48920</v>
      </c>
    </row>
    <row r="6" spans="1:7" ht="120" x14ac:dyDescent="0.25">
      <c r="A6" s="25" t="s">
        <v>34</v>
      </c>
      <c r="B6" s="25">
        <f>Item4!A3</f>
        <v>4</v>
      </c>
      <c r="C6" s="27" t="str">
        <f>Item4!B3</f>
        <v xml:space="preserve">Caneta marca-texto,
Corpo em material plástico,
Ponta em poliéster
Fluorescente, Cor amarela,
Traço de 5 mm, podendo variar para +/- 1mm
Acondicionado em caixas com 12 unidades. </v>
      </c>
      <c r="D6" s="25" t="str">
        <f>Item4!C3</f>
        <v>caixa</v>
      </c>
      <c r="E6" s="25">
        <f>Item4!D3</f>
        <v>300</v>
      </c>
      <c r="F6" s="26">
        <f>Item4!E3</f>
        <v>18.72</v>
      </c>
      <c r="G6" s="26">
        <f t="shared" si="0"/>
        <v>5616</v>
      </c>
    </row>
    <row r="7" spans="1:7" ht="60" x14ac:dyDescent="0.25">
      <c r="A7" s="25" t="s">
        <v>34</v>
      </c>
      <c r="B7" s="25">
        <f>Item5!A3</f>
        <v>5</v>
      </c>
      <c r="C7" s="27" t="str">
        <f>Item5!B3</f>
        <v xml:space="preserve">Marcador Permanente/ Pincel Atômico
Ponta chanfrada em fibra, Cor azul.
Acondicionados em caixas com 12 unidades. </v>
      </c>
      <c r="D7" s="25" t="str">
        <f>Item5!C3</f>
        <v>caixa</v>
      </c>
      <c r="E7" s="25">
        <f>Item5!D3</f>
        <v>500</v>
      </c>
      <c r="F7" s="26">
        <f>Item5!E3</f>
        <v>46.93</v>
      </c>
      <c r="G7" s="26">
        <f t="shared" si="0"/>
        <v>23465</v>
      </c>
    </row>
    <row r="8" spans="1:7" ht="60" x14ac:dyDescent="0.25">
      <c r="A8" s="25" t="s">
        <v>34</v>
      </c>
      <c r="B8" s="25">
        <f>Item6!A3</f>
        <v>6</v>
      </c>
      <c r="C8" s="27" t="str">
        <f>Item6!B3</f>
        <v>Tinta para carimbo
cor azul, em frasco com no mínimo 40ml.
Acondicionadas em caixas com 12 unidades</v>
      </c>
      <c r="D8" s="25" t="str">
        <f>Item6!C3</f>
        <v>caixa</v>
      </c>
      <c r="E8" s="25">
        <f>Item6!D3</f>
        <v>100</v>
      </c>
      <c r="F8" s="26">
        <f>Item6!E3</f>
        <v>41.61</v>
      </c>
      <c r="G8" s="26">
        <f t="shared" si="0"/>
        <v>4161</v>
      </c>
    </row>
    <row r="9" spans="1:7" ht="75" x14ac:dyDescent="0.25">
      <c r="A9" s="25" t="s">
        <v>34</v>
      </c>
      <c r="B9" s="25">
        <f>Item7!A3</f>
        <v>7</v>
      </c>
      <c r="C9" s="27" t="str">
        <f>Item7!B3</f>
        <v>Almofada para carimbo
Dimensões mínimas: 5,0 x 9,0cm
Material plástico e esponja absorvente revestida em tecido
Tipo entintada, Cor Azul</v>
      </c>
      <c r="D9" s="25" t="str">
        <f>Item7!C3</f>
        <v>unidade</v>
      </c>
      <c r="E9" s="25">
        <f>Item7!D3</f>
        <v>5000</v>
      </c>
      <c r="F9" s="26">
        <f>Item7!E3</f>
        <v>5.83</v>
      </c>
      <c r="G9" s="26">
        <f t="shared" si="0"/>
        <v>29150</v>
      </c>
    </row>
    <row r="10" spans="1:7" ht="105" x14ac:dyDescent="0.25">
      <c r="A10" s="25" t="s">
        <v>34</v>
      </c>
      <c r="B10" s="25">
        <f>Item8!A3</f>
        <v>8</v>
      </c>
      <c r="C10" s="27" t="str">
        <f>Item8!B3</f>
        <v>Grampeador para grampo 26/6,
Comprimento mínimo: 16 cm,
Em metal pintado
Capacidade para grampear simultaneamente, no mínimo, 25 folhas de 75g/m2 cada.
Acondicionados em caixa individual</v>
      </c>
      <c r="D10" s="25" t="str">
        <f>Item8!C3</f>
        <v>unidade</v>
      </c>
      <c r="E10" s="25">
        <f>Item8!D3</f>
        <v>1500</v>
      </c>
      <c r="F10" s="26">
        <f>Item8!E3</f>
        <v>20.22</v>
      </c>
      <c r="G10" s="26">
        <f t="shared" si="0"/>
        <v>30330</v>
      </c>
    </row>
    <row r="11" spans="1:7" ht="90" x14ac:dyDescent="0.25">
      <c r="A11" s="25" t="s">
        <v>34</v>
      </c>
      <c r="B11" s="25">
        <f>Item9!A3</f>
        <v>9</v>
      </c>
      <c r="C11" s="27" t="str">
        <f>Item9!B3</f>
        <v>Grampo para grampeador 26/6
Em aço;
Tratamento superficial: niquelado
Caixa com 1.000 unidades
Acondicionados em embalagens com até 50 caixas</v>
      </c>
      <c r="D11" s="25" t="str">
        <f>Item9!C3</f>
        <v>caixa</v>
      </c>
      <c r="E11" s="25">
        <f>Item9!D3</f>
        <v>6000</v>
      </c>
      <c r="F11" s="26">
        <f>Item9!E3</f>
        <v>4.1100000000000003</v>
      </c>
      <c r="G11" s="26">
        <f t="shared" si="0"/>
        <v>24660</v>
      </c>
    </row>
    <row r="12" spans="1:7" ht="75" x14ac:dyDescent="0.25">
      <c r="A12" s="25" t="s">
        <v>34</v>
      </c>
      <c r="B12" s="25">
        <f>Item10!A3</f>
        <v>10</v>
      </c>
      <c r="C12" s="27" t="str">
        <f>Item10!B3</f>
        <v xml:space="preserve">Perfurador para papel Em metal pintado 2 furos redondos Com mastigador Base em PVC Capacidade: 30 folhas de 75g/m² Acondicionados em embalagens com até 50 unidades. </v>
      </c>
      <c r="D12" s="25" t="str">
        <f>Item10!C3</f>
        <v>unidade</v>
      </c>
      <c r="E12" s="25">
        <f>Item10!D3</f>
        <v>800</v>
      </c>
      <c r="F12" s="26">
        <f>Item10!E3</f>
        <v>22.25</v>
      </c>
      <c r="G12" s="26">
        <f t="shared" si="0"/>
        <v>17800</v>
      </c>
    </row>
    <row r="13" spans="1:7" ht="105" x14ac:dyDescent="0.25">
      <c r="A13" s="25" t="s">
        <v>34</v>
      </c>
      <c r="B13" s="25">
        <f>Item11!A3</f>
        <v>11</v>
      </c>
      <c r="C13" s="27" t="str">
        <f>Item11!B3</f>
        <v>Extrator de grampos
Para grampos 26/6
Cromado 
Tipo Alavanca
Comprimento mínimo: 150mm
Acondicionados em embalagens com até 50un.</v>
      </c>
      <c r="D13" s="25" t="str">
        <f>Item11!C3</f>
        <v>unidade</v>
      </c>
      <c r="E13" s="25">
        <f>Item11!D3</f>
        <v>800</v>
      </c>
      <c r="F13" s="26">
        <f>Item11!E3</f>
        <v>1.9</v>
      </c>
      <c r="G13" s="26">
        <f t="shared" si="0"/>
        <v>1520</v>
      </c>
    </row>
    <row r="14" spans="1:7" ht="60" x14ac:dyDescent="0.25">
      <c r="A14" s="25" t="s">
        <v>34</v>
      </c>
      <c r="B14" s="25">
        <f>Item12!A3</f>
        <v>12</v>
      </c>
      <c r="C14" s="27" t="str">
        <f>Item12!B3</f>
        <v xml:space="preserve">Régua escritório transparente
Comprimento: 15cm
Graduação: centímetros/milímetros
Em embalagens com até 100 unidades </v>
      </c>
      <c r="D14" s="25" t="str">
        <f>Item12!C3</f>
        <v>unidade</v>
      </c>
      <c r="E14" s="25">
        <f>Item12!D3</f>
        <v>30000</v>
      </c>
      <c r="F14" s="26">
        <f>Item12!E3</f>
        <v>1.74</v>
      </c>
      <c r="G14" s="26">
        <f t="shared" si="0"/>
        <v>52200</v>
      </c>
    </row>
    <row r="15" spans="1:7" ht="120" x14ac:dyDescent="0.25">
      <c r="A15" s="25" t="s">
        <v>34</v>
      </c>
      <c r="B15" s="25">
        <f>Item13!A3</f>
        <v>13</v>
      </c>
      <c r="C15" s="27" t="str">
        <f>Item13!B3</f>
        <v xml:space="preserve">Tesoura
Em aço inoxidável
Cabo em polipropileno, na cor preta
Comprimento: 20cm, admitida variação de ± 1,5 cm
Embaladas individualmente.
Acondicionadas em caixas com até 50 unidades. </v>
      </c>
      <c r="D15" s="25" t="str">
        <f>Item13!C3</f>
        <v>unidade</v>
      </c>
      <c r="E15" s="25">
        <f>Item13!D3</f>
        <v>800</v>
      </c>
      <c r="F15" s="26">
        <f>Item13!E3</f>
        <v>5.91</v>
      </c>
      <c r="G15" s="26">
        <f t="shared" si="0"/>
        <v>4728</v>
      </c>
    </row>
    <row r="16" spans="1:7" ht="90" x14ac:dyDescent="0.25">
      <c r="A16" s="25" t="s">
        <v>34</v>
      </c>
      <c r="B16" s="25">
        <f>Item14!A3</f>
        <v>14</v>
      </c>
      <c r="C16" s="27" t="str">
        <f>Item14!B3</f>
        <v xml:space="preserve">Cinta Elástica (elástico para dinheiro)
Em látex,
Nº 18
Pacote com 100 gramas
Acondicionadas em embalagens com até 50 pacotes </v>
      </c>
      <c r="D16" s="25" t="str">
        <f>Item14!C3</f>
        <v>pacote</v>
      </c>
      <c r="E16" s="25">
        <f>Item14!D3</f>
        <v>5000</v>
      </c>
      <c r="F16" s="26">
        <f>Item14!E3</f>
        <v>3.69</v>
      </c>
      <c r="G16" s="26">
        <f t="shared" si="0"/>
        <v>18450</v>
      </c>
    </row>
    <row r="17" spans="1:7" ht="105" x14ac:dyDescent="0.25">
      <c r="A17" s="25" t="s">
        <v>34</v>
      </c>
      <c r="B17" s="25">
        <f>Item15!A3</f>
        <v>15</v>
      </c>
      <c r="C17" s="27" t="str">
        <f>Item15!B3</f>
        <v xml:space="preserve">Adesivo instantâneo
À base de cianoacrilato,
Tubo com 5g.
Validade mínima de 11 meses a contar da data de
recebimento definitivo.
Acondicionados em embalagem individual </v>
      </c>
      <c r="D17" s="25" t="str">
        <f>Item15!C3</f>
        <v>unidade</v>
      </c>
      <c r="E17" s="25">
        <f>Item15!D3</f>
        <v>200</v>
      </c>
      <c r="F17" s="26">
        <f>Item15!E3</f>
        <v>6.24</v>
      </c>
      <c r="G17" s="26">
        <f t="shared" si="0"/>
        <v>1248</v>
      </c>
    </row>
    <row r="18" spans="1:7" ht="120" x14ac:dyDescent="0.25">
      <c r="A18" s="25" t="s">
        <v>34</v>
      </c>
      <c r="B18" s="25">
        <f>Item16!A3</f>
        <v>16</v>
      </c>
      <c r="C18" s="27" t="str">
        <f>Item16!B3</f>
        <v xml:space="preserve">Cola branca,
À base de PVA
Tipo escolar; não tóxica.
Frasco com 40g
Validade mínima de 18 meses contados da data de recebimento definitivo.
Acondicionadas em caixas com até 50 unidades. </v>
      </c>
      <c r="D18" s="25" t="str">
        <f>Item16!C3</f>
        <v>unidade</v>
      </c>
      <c r="E18" s="25">
        <f>Item16!D3</f>
        <v>5000</v>
      </c>
      <c r="F18" s="26">
        <f>Item16!E3</f>
        <v>2.97</v>
      </c>
      <c r="G18" s="26">
        <f t="shared" si="0"/>
        <v>14850</v>
      </c>
    </row>
    <row r="19" spans="1:7" ht="150" x14ac:dyDescent="0.25">
      <c r="A19" s="25" t="s">
        <v>34</v>
      </c>
      <c r="B19" s="25">
        <f>Item17!A3</f>
        <v>17</v>
      </c>
      <c r="C19" s="27" t="str">
        <f>Item17!B3</f>
        <v>Molha-dedos
Com glicerina, não tóxico e que não manche,
com CRQ do químico responsável impresso na embalagem e/ou no rótulo,
peso líquido de 12g,
validade mínima de 9 meses a contar da data do recebimento provisório.
Acondicionadas em caixas com até 10 unidades</v>
      </c>
      <c r="D19" s="25" t="str">
        <f>Item17!C3</f>
        <v>unidade</v>
      </c>
      <c r="E19" s="25">
        <f>Item17!D3</f>
        <v>300</v>
      </c>
      <c r="F19" s="26">
        <f>Item17!E3</f>
        <v>2.94</v>
      </c>
      <c r="G19" s="26">
        <f t="shared" si="0"/>
        <v>882</v>
      </c>
    </row>
    <row r="20" spans="1:7" ht="135" x14ac:dyDescent="0.25">
      <c r="A20" s="25" t="s">
        <v>34</v>
      </c>
      <c r="B20" s="25">
        <f>Item18!A3</f>
        <v>18</v>
      </c>
      <c r="C20" s="27" t="str">
        <f>Item18!B3</f>
        <v xml:space="preserve">Estilete
Invólucro em plástico resistente
Lâmina retrátil em aço,
Comprimento mínimo: 18 cm
Com sistema de travamento
Encaixe por pressão
Embalados individualmente,
Acondicionados em embalagem com até 50 un. </v>
      </c>
      <c r="D20" s="25" t="str">
        <f>Item18!C3</f>
        <v>unidade</v>
      </c>
      <c r="E20" s="25">
        <f>Item18!D3</f>
        <v>2000</v>
      </c>
      <c r="F20" s="26">
        <f>Item18!E3</f>
        <v>1.61</v>
      </c>
      <c r="G20" s="26">
        <f t="shared" si="0"/>
        <v>3220</v>
      </c>
    </row>
    <row r="21" spans="1:7" ht="60" x14ac:dyDescent="0.25">
      <c r="A21" s="25" t="s">
        <v>34</v>
      </c>
      <c r="B21" s="25">
        <f>Item19!A3</f>
        <v>19</v>
      </c>
      <c r="C21" s="27" t="str">
        <f>Item19!B3</f>
        <v>Clips nº 1
Em aço inox; Tratamento superficial: niquelado,
Caixa com 100 unidades</v>
      </c>
      <c r="D21" s="25" t="str">
        <f>Item19!C3</f>
        <v>caixa</v>
      </c>
      <c r="E21" s="25">
        <f>Item19!D3</f>
        <v>4000</v>
      </c>
      <c r="F21" s="26">
        <f>Item19!E3</f>
        <v>3.3</v>
      </c>
      <c r="G21" s="26">
        <f t="shared" si="0"/>
        <v>13200</v>
      </c>
    </row>
    <row r="22" spans="1:7" ht="60" x14ac:dyDescent="0.25">
      <c r="A22" s="25" t="s">
        <v>34</v>
      </c>
      <c r="B22" s="25">
        <f>Item20!A3</f>
        <v>20</v>
      </c>
      <c r="C22" s="27" t="str">
        <f>Item20!B3</f>
        <v xml:space="preserve">Clips nº 6
Em aço inox;
Tratamento superficial: niquelado,
Caixa com 50 unidades </v>
      </c>
      <c r="D22" s="25" t="str">
        <f>Item20!C3</f>
        <v>caixa</v>
      </c>
      <c r="E22" s="25">
        <f>Item20!D3</f>
        <v>4000</v>
      </c>
      <c r="F22" s="26">
        <f>Item20!E3</f>
        <v>4.96</v>
      </c>
      <c r="G22" s="26">
        <f t="shared" si="0"/>
        <v>19840</v>
      </c>
    </row>
    <row r="23" spans="1:7" ht="225" x14ac:dyDescent="0.25">
      <c r="A23" s="25" t="s">
        <v>34</v>
      </c>
      <c r="B23" s="25">
        <f>Item21!A3</f>
        <v>21</v>
      </c>
      <c r="C23" s="27" t="str">
        <f>Item21!B3</f>
        <v xml:space="preserve">Grampo trilho encadernador
Material plástico
Cor branca
Espelho tipo ‘garra’ ou ‘lingueta’;
Para afixação de folhas em processos
Base medindo pelo menos 115 mm x 10 mm x 3 mm,
admitidas variações de 10 % (dez por cento) para menos
Haste medindo pelo menos 310 mm no total, admitidas
variações de 10% (dez por cento) para menos
Com prendedor de nylon
Caixa ou embalagem com 50 unidades. </v>
      </c>
      <c r="D23" s="25" t="str">
        <f>Item21!C3</f>
        <v>caixa</v>
      </c>
      <c r="E23" s="25">
        <f>Item21!D3</f>
        <v>3000</v>
      </c>
      <c r="F23" s="26">
        <f>Item21!E3</f>
        <v>8.36</v>
      </c>
      <c r="G23" s="26">
        <f t="shared" si="0"/>
        <v>25080</v>
      </c>
    </row>
    <row r="24" spans="1:7" ht="75" x14ac:dyDescent="0.25">
      <c r="A24" s="25" t="s">
        <v>34</v>
      </c>
      <c r="B24" s="25">
        <f>Item22!A3</f>
        <v>22</v>
      </c>
      <c r="C24" s="27" t="str">
        <f>Item22!B3</f>
        <v xml:space="preserve">Papel alcalino no formato A4 (210x297mm),
Cor branca,
Gramatura: 75g/m2
Para impressora a laser </v>
      </c>
      <c r="D24" s="25" t="str">
        <f>Item22!C3</f>
        <v>resma</v>
      </c>
      <c r="E24" s="25">
        <f>Item22!D3</f>
        <v>2600</v>
      </c>
      <c r="F24" s="26">
        <f>Item22!E3</f>
        <v>30.48</v>
      </c>
      <c r="G24" s="26">
        <f t="shared" si="0"/>
        <v>79248</v>
      </c>
    </row>
    <row r="25" spans="1:7" ht="60" x14ac:dyDescent="0.25">
      <c r="A25" s="25" t="s">
        <v>34</v>
      </c>
      <c r="B25" s="25">
        <f>Item23!A3</f>
        <v>23</v>
      </c>
      <c r="C25" s="27" t="str">
        <f>Item23!B3</f>
        <v>Papel alcalino no formato A3 (297 x 420mm),
Cor branca, alta alvura
Gramatura: 75g/m²</v>
      </c>
      <c r="D25" s="25" t="str">
        <f>Item23!C3</f>
        <v>resma</v>
      </c>
      <c r="E25" s="25">
        <f>Item23!D3</f>
        <v>200</v>
      </c>
      <c r="F25" s="26">
        <f>Item23!E3</f>
        <v>67.069999999999993</v>
      </c>
      <c r="G25" s="26">
        <f t="shared" si="0"/>
        <v>13414</v>
      </c>
    </row>
    <row r="26" spans="1:7" ht="120" x14ac:dyDescent="0.25">
      <c r="A26" s="25" t="s">
        <v>34</v>
      </c>
      <c r="B26" s="25">
        <f>Item24!A3</f>
        <v>24</v>
      </c>
      <c r="C26" s="27" t="str">
        <f>Item24!B3</f>
        <v xml:space="preserve">Porta-crachás
Em PVC Cristal
Modelo Vertical
Tamanho: 80 X 120
Espessura: 0,13mm
Com cordão
Acondicionados em embalagem com 100 unidades </v>
      </c>
      <c r="D26" s="25" t="str">
        <f>Item24!C3</f>
        <v>unidade</v>
      </c>
      <c r="E26" s="25">
        <f>Item24!D3</f>
        <v>40000</v>
      </c>
      <c r="F26" s="26">
        <f>Item24!E3</f>
        <v>1.35</v>
      </c>
      <c r="G26" s="26">
        <f t="shared" si="0"/>
        <v>54000</v>
      </c>
    </row>
    <row r="27" spans="1:7" ht="195" x14ac:dyDescent="0.25">
      <c r="A27" s="25" t="s">
        <v>34</v>
      </c>
      <c r="B27" s="25">
        <f>Item25!A3</f>
        <v>25</v>
      </c>
      <c r="C27" s="27" t="str">
        <f>Item25!B3</f>
        <v xml:space="preserve">Envelope pardo
Papel Kraft natural monolúcido  Dimensões: 36 x 26 cm (±1 cm)
Face externa em alta lisura
Gramatura não inferior a 80 g/m2
Com brasão da República
Inscrição, em cor preta, conforme anexo B.
Conforme modelo disponível na Seção de Gestão de
Almoxarifado do TRE-BA
Acondicionados em caixas de papelão com 250 unidades. </v>
      </c>
      <c r="D27" s="25" t="str">
        <f>Item25!C3</f>
        <v>unidade</v>
      </c>
      <c r="E27" s="25">
        <f>Item25!D3</f>
        <v>75000</v>
      </c>
      <c r="F27" s="26">
        <f>Item25!E3</f>
        <v>0.39</v>
      </c>
      <c r="G27" s="26">
        <f t="shared" si="0"/>
        <v>29250</v>
      </c>
    </row>
    <row r="28" spans="1:7" ht="180" x14ac:dyDescent="0.25">
      <c r="A28" s="25" t="s">
        <v>34</v>
      </c>
      <c r="B28" s="25">
        <f>Item26!A3</f>
        <v>26</v>
      </c>
      <c r="C28" s="27" t="str">
        <f>Item26!B3</f>
        <v xml:space="preserve">Envelope pardo
Papel Kraft natural monolúcido
Dimensões: 41 x 31 cm (±1 cm)
Face externa em alta lisura
Gramatura não inferior a 80 g/m2
Com Brasão da República
Inscrição, em cor preta, conforme anexo B.
Conforme modelo disponível na Seção de Gestão de Almoxarifado do TRE-BA
Acondicionados em caixas de papelão com 250 unidades </v>
      </c>
      <c r="D28" s="25" t="str">
        <f>Item26!C3</f>
        <v>unidade</v>
      </c>
      <c r="E28" s="25">
        <f>Item26!D3</f>
        <v>75000</v>
      </c>
      <c r="F28" s="26">
        <f>Item26!E3</f>
        <v>0.18</v>
      </c>
      <c r="G28" s="26">
        <f t="shared" si="0"/>
        <v>13500</v>
      </c>
    </row>
    <row r="29" spans="1:7" ht="165" x14ac:dyDescent="0.25">
      <c r="A29" s="25" t="s">
        <v>34</v>
      </c>
      <c r="B29" s="25">
        <f>Item27!A3</f>
        <v>27</v>
      </c>
      <c r="C29" s="27" t="str">
        <f>Item27!B3</f>
        <v>Envelope pardo
Papel Kraft natural monolúcido
Dimensões: 28 x 20 cm (±1 cm)
Face externa em alta lisura
Gramatura não inferior a 75 g/m2
Com brasão da República
Inscrição, em cor preta, conforme anexo B. Conforme modelo disponível na Seção de Gestão de Almoxarifado do TRE-BA
Acondicionados em caixas de papelão com 250 unidades.</v>
      </c>
      <c r="D29" s="25" t="str">
        <f>Item27!C3</f>
        <v>unidade</v>
      </c>
      <c r="E29" s="25">
        <f>Item27!D3</f>
        <v>75000</v>
      </c>
      <c r="F29" s="26">
        <f>Item27!E3</f>
        <v>0.43</v>
      </c>
      <c r="G29" s="26">
        <f t="shared" si="0"/>
        <v>32250</v>
      </c>
    </row>
    <row r="30" spans="1:7" ht="150" x14ac:dyDescent="0.25">
      <c r="A30" s="25" t="s">
        <v>34</v>
      </c>
      <c r="B30" s="25">
        <f>Item28!A3</f>
        <v>28</v>
      </c>
      <c r="C30" s="27" t="str">
        <f>Item28!B3</f>
        <v>Envelope branco
Papel alcalino
Dimensões: 23 x 11,5 cm (±1 cm)
Tipo correspondência
Gramatura não inferior a 90 g/m2
Com brasão da República
Inscrição, em cor preta, conforme anexo B4
Acondicionados em caixas de papelão com 1000 unidades.</v>
      </c>
      <c r="D30" s="25" t="str">
        <f>Item28!C3</f>
        <v>unidade</v>
      </c>
      <c r="E30" s="25">
        <f>Item28!D3</f>
        <v>200000</v>
      </c>
      <c r="F30" s="26">
        <f>Item28!E3</f>
        <v>0.26</v>
      </c>
      <c r="G30" s="26">
        <f t="shared" ref="G30:G43" si="1">ROUND((E30*F30),2)</f>
        <v>52000</v>
      </c>
    </row>
    <row r="31" spans="1:7" ht="180" x14ac:dyDescent="0.25">
      <c r="A31" s="25" t="s">
        <v>34</v>
      </c>
      <c r="B31" s="25">
        <f>Item29!A3</f>
        <v>29</v>
      </c>
      <c r="C31" s="27" t="str">
        <f>Item29!B3</f>
        <v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v>
      </c>
      <c r="D31" s="25" t="str">
        <f>Item29!C3</f>
        <v>unidade</v>
      </c>
      <c r="E31" s="25">
        <f>Item29!D3</f>
        <v>15000</v>
      </c>
      <c r="F31" s="26">
        <f>Item29!E3</f>
        <v>2.79</v>
      </c>
      <c r="G31" s="26">
        <f t="shared" si="1"/>
        <v>41850</v>
      </c>
    </row>
    <row r="32" spans="1:7" ht="255" x14ac:dyDescent="0.25">
      <c r="A32" s="25" t="s">
        <v>34</v>
      </c>
      <c r="B32" s="25">
        <f>Item30!A3</f>
        <v>30</v>
      </c>
      <c r="C32" s="27" t="str">
        <f>Item30!B3</f>
        <v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v>
      </c>
      <c r="D32" s="25" t="str">
        <f>Item30!C3</f>
        <v>unidade</v>
      </c>
      <c r="E32" s="25">
        <f>Item30!D3</f>
        <v>4000</v>
      </c>
      <c r="F32" s="26">
        <f>Item30!E3</f>
        <v>19.91</v>
      </c>
      <c r="G32" s="26">
        <f t="shared" si="1"/>
        <v>79640</v>
      </c>
    </row>
    <row r="33" spans="1:7" ht="210" x14ac:dyDescent="0.25">
      <c r="A33" s="25" t="s">
        <v>34</v>
      </c>
      <c r="B33" s="25">
        <f>Item31!A3</f>
        <v>31</v>
      </c>
      <c r="C33" s="27" t="str">
        <f>Item31!B3</f>
        <v>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v>
      </c>
      <c r="D33" s="25" t="str">
        <f>Item31!C3</f>
        <v>unidade</v>
      </c>
      <c r="E33" s="25">
        <f>Item31!D3</f>
        <v>9000</v>
      </c>
      <c r="F33" s="26">
        <f>Item31!E3</f>
        <v>8.4</v>
      </c>
      <c r="G33" s="26">
        <f t="shared" si="1"/>
        <v>75600</v>
      </c>
    </row>
    <row r="34" spans="1:7" ht="345" x14ac:dyDescent="0.25">
      <c r="A34" s="25" t="s">
        <v>34</v>
      </c>
      <c r="B34" s="25">
        <f>Item32!A3</f>
        <v>32</v>
      </c>
      <c r="C34" s="27" t="str">
        <f>Item32!B3</f>
        <v xml:space="preserve">Pen Drive 32GB
Dispositivo de armazenamento em memória flash com conector USB, do tipo pendrive.
Padrão USB 3.0, compatível com os padrões USB 2.0 e USB 1.1;
Capacidade de armazenamento mínimo de 32GB;
Taxas de leitura e gravação mínimas de: 70MB/s e 20MB/s;
Conector USB tipo A macho, com estrutura de proteção aos contatos do conector conforme figura 1, e profundidade mínima de 12mm conforme item A da figura 2 do modelo apresentado no Anexo B.1.
Estrutura com alça para fixação em chaveiro (não representado na figura do Anexo B.1)
Com dimensões mínimas de 12mm x 25mm (D x C), figura 2 do modelo apresentado no Anexo B.1.
Garantia mínima de 1 ano. </v>
      </c>
      <c r="D34" s="25" t="str">
        <f>Item32!C3</f>
        <v>unidade</v>
      </c>
      <c r="E34" s="25">
        <f>Item32!D3</f>
        <v>5000</v>
      </c>
      <c r="F34" s="26">
        <f>Item32!E3</f>
        <v>39.479999999999997</v>
      </c>
      <c r="G34" s="26">
        <f t="shared" si="1"/>
        <v>197400</v>
      </c>
    </row>
    <row r="35" spans="1:7" ht="60" x14ac:dyDescent="0.25">
      <c r="A35" s="25" t="s">
        <v>34</v>
      </c>
      <c r="B35" s="25">
        <f>Item33!A3</f>
        <v>33</v>
      </c>
      <c r="C35" s="27" t="str">
        <f>Item33!B3</f>
        <v>Cabo extensor USB 2.0
Conectores USB 2.0 A macho X USB 2.0 A fêmea
Comprimento: 30 cm, no mínimo.</v>
      </c>
      <c r="D35" s="25" t="str">
        <f>Item33!C3</f>
        <v>unidade</v>
      </c>
      <c r="E35" s="25">
        <f>Item33!D3</f>
        <v>1500</v>
      </c>
      <c r="F35" s="26">
        <f>Item33!E3</f>
        <v>6.88</v>
      </c>
      <c r="G35" s="26">
        <f t="shared" si="1"/>
        <v>10320</v>
      </c>
    </row>
    <row r="36" spans="1:7" ht="315" x14ac:dyDescent="0.25">
      <c r="A36" s="25" t="s">
        <v>34</v>
      </c>
      <c r="B36" s="25">
        <f>Item34!A3</f>
        <v>34</v>
      </c>
      <c r="C36" s="27" t="str">
        <f>Item34!B3</f>
        <v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v>
      </c>
      <c r="D36" s="25" t="str">
        <f>Item34!C3</f>
        <v>unidade</v>
      </c>
      <c r="E36" s="25">
        <f>Item34!D3</f>
        <v>2500</v>
      </c>
      <c r="F36" s="26">
        <f>Item34!E3</f>
        <v>9.65</v>
      </c>
      <c r="G36" s="26">
        <f t="shared" si="1"/>
        <v>24125</v>
      </c>
    </row>
    <row r="37" spans="1:7" ht="60" x14ac:dyDescent="0.25">
      <c r="A37" s="25" t="s">
        <v>34</v>
      </c>
      <c r="B37" s="25">
        <f>Item35!A3</f>
        <v>35</v>
      </c>
      <c r="C37" s="27" t="str">
        <f>Item35!B3</f>
        <v xml:space="preserve">Fita adesiva COM timbre
Em polipropileno;
Dimensões: 48mm x 50m – largura x comprimento; </v>
      </c>
      <c r="D37" s="25" t="str">
        <f>Item35!C3</f>
        <v>rolo</v>
      </c>
      <c r="E37" s="25">
        <f>Item35!D3</f>
        <v>5000</v>
      </c>
      <c r="F37" s="26">
        <f>Item35!E3</f>
        <v>4.17</v>
      </c>
      <c r="G37" s="26">
        <f t="shared" si="1"/>
        <v>20850</v>
      </c>
    </row>
    <row r="38" spans="1:7" ht="120" x14ac:dyDescent="0.25">
      <c r="A38" s="25" t="s">
        <v>34</v>
      </c>
      <c r="B38" s="25">
        <f>Item36!A3</f>
        <v>36</v>
      </c>
      <c r="C38" s="27" t="str">
        <f>Item36!B3</f>
        <v>Fita adesiva
Em polipropileno;
Dimensões: 48mm x 50m – largura x comprimento;
Incolor;
Sem impressão;
Acondicionadas em caixas com até 100 unidades.</v>
      </c>
      <c r="D38" s="25" t="str">
        <f>Item36!C3</f>
        <v>rolo</v>
      </c>
      <c r="E38" s="25">
        <f>Item36!D3</f>
        <v>5000</v>
      </c>
      <c r="F38" s="26">
        <f>Item36!E3</f>
        <v>6.56</v>
      </c>
      <c r="G38" s="26">
        <f t="shared" si="1"/>
        <v>32800</v>
      </c>
    </row>
    <row r="39" spans="1:7" ht="90" x14ac:dyDescent="0.25">
      <c r="A39" s="25" t="s">
        <v>34</v>
      </c>
      <c r="B39" s="25">
        <f>Item37!A3</f>
        <v>37</v>
      </c>
      <c r="C39" s="27" t="str">
        <f>Item37!B3</f>
        <v>Saco Plástico
Em polipropileno;
Transparente;
Dimensão: 30 x 40 cm (largura x altura);
Espessura mínima de 6 micras;
Embalagem: pacote com 100 unidades.</v>
      </c>
      <c r="D39" s="25" t="str">
        <f>Item37!C3</f>
        <v>pacote</v>
      </c>
      <c r="E39" s="25">
        <f>Item37!D3</f>
        <v>1500</v>
      </c>
      <c r="F39" s="26">
        <f>Item37!E3</f>
        <v>28.45</v>
      </c>
      <c r="G39" s="26">
        <f t="shared" si="1"/>
        <v>42675</v>
      </c>
    </row>
    <row r="40" spans="1:7" ht="60" x14ac:dyDescent="0.25">
      <c r="A40" s="25" t="s">
        <v>34</v>
      </c>
      <c r="B40" s="25">
        <f>Item38!A3</f>
        <v>38</v>
      </c>
      <c r="C40" s="27" t="str">
        <f>Item38!B3</f>
        <v xml:space="preserve">Pasta Arquivo com canaleta
Em plástico transparente
Com canaleta
Tamanho A4 </v>
      </c>
      <c r="D40" s="25" t="str">
        <f>Item38!C3</f>
        <v>unidade</v>
      </c>
      <c r="E40" s="25">
        <f>Item38!D3</f>
        <v>10000</v>
      </c>
      <c r="F40" s="26">
        <f>Item38!E3</f>
        <v>3.39</v>
      </c>
      <c r="G40" s="26">
        <f t="shared" si="1"/>
        <v>33900</v>
      </c>
    </row>
    <row r="41" spans="1:7" ht="255" x14ac:dyDescent="0.25">
      <c r="A41" s="25" t="s">
        <v>34</v>
      </c>
      <c r="B41" s="25">
        <f>Item39!A3</f>
        <v>39</v>
      </c>
      <c r="C41" s="27" t="str">
        <f>Item39!B3</f>
        <v xml:space="preserve">Palete de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B.5 </v>
      </c>
      <c r="D41" s="25" t="str">
        <f>Item39!C3</f>
        <v>unidade</v>
      </c>
      <c r="E41" s="25">
        <f>Item39!D3</f>
        <v>800</v>
      </c>
      <c r="F41" s="26">
        <f>Item39!E3</f>
        <v>90.75</v>
      </c>
      <c r="G41" s="26">
        <f t="shared" si="1"/>
        <v>72600</v>
      </c>
    </row>
    <row r="42" spans="1:7" ht="240" x14ac:dyDescent="0.25">
      <c r="A42" s="25" t="s">
        <v>34</v>
      </c>
      <c r="B42" s="25">
        <f>Item40!A3</f>
        <v>40</v>
      </c>
      <c r="C42" s="27" t="str">
        <f>Item40!B3</f>
        <v>Caneta esferográfica
Cor azul
Em material plástico,
Ponta em aço inoxidável ou latão, com esfera de tungstênio,
Corpo transparente
Selo de adequação à norma ABNT NBR 15236/2012 – Versão Corrigida 2013.
Acondicionada em caixa com 50 unidades;
Prazo de validade impresso na embalagem, não inferior a 18 meses contados da data do recebimento definitivo.
Marca de Referência: Bic, Compactor, Faber Castell, Pilot, ou similar*</v>
      </c>
      <c r="D42" s="25" t="str">
        <f>Item40!C3</f>
        <v>caixa</v>
      </c>
      <c r="E42" s="25">
        <f>Item40!D3</f>
        <v>3750</v>
      </c>
      <c r="F42" s="26">
        <f>Item40!E3</f>
        <v>37.53</v>
      </c>
      <c r="G42" s="26">
        <f t="shared" si="1"/>
        <v>140737.5</v>
      </c>
    </row>
    <row r="43" spans="1:7" ht="75" x14ac:dyDescent="0.25">
      <c r="A43" s="25" t="s">
        <v>34</v>
      </c>
      <c r="B43" s="25">
        <f>Item41!A3</f>
        <v>41</v>
      </c>
      <c r="C43" s="27" t="str">
        <f>Item41!B3</f>
        <v>Almofada para carimbo
Dimensões mínimas: 5,0 x 9,0cm
Material plástico e esponja absorvente revestida em tecido
Tipo entintada, Cor Azul</v>
      </c>
      <c r="D43" s="25" t="str">
        <f>Item41!C3</f>
        <v>unidade</v>
      </c>
      <c r="E43" s="25">
        <f>Item41!D3</f>
        <v>15000</v>
      </c>
      <c r="F43" s="26">
        <f>Item41!E3</f>
        <v>5.83</v>
      </c>
      <c r="G43" s="26">
        <f t="shared" si="1"/>
        <v>87450</v>
      </c>
    </row>
    <row r="44" spans="1:7" ht="75" x14ac:dyDescent="0.25">
      <c r="A44" s="25" t="s">
        <v>34</v>
      </c>
      <c r="B44" s="25">
        <f>Item42!A3</f>
        <v>42</v>
      </c>
      <c r="C44" s="27" t="str">
        <f>Item42!B3</f>
        <v xml:space="preserve">Papel alcalino no formato A4 (210x297mm),
Cor branca,
Gramatura: 75g/m2,
Para impressora a laser </v>
      </c>
      <c r="D44" s="25" t="str">
        <f>Item42!C3</f>
        <v>resma</v>
      </c>
      <c r="E44" s="25">
        <f>Item42!D3</f>
        <v>22400</v>
      </c>
      <c r="F44" s="26">
        <f>Item42!E3</f>
        <v>30.48</v>
      </c>
      <c r="G44" s="26">
        <f t="shared" ref="G44:G52" si="2">ROUND((E44*F44),2)</f>
        <v>682752</v>
      </c>
    </row>
    <row r="45" spans="1:7" ht="120" x14ac:dyDescent="0.25">
      <c r="A45" s="25" t="s">
        <v>34</v>
      </c>
      <c r="B45" s="25">
        <f>Item43!A3</f>
        <v>43</v>
      </c>
      <c r="C45" s="27" t="str">
        <f>Item43!B3</f>
        <v xml:space="preserve">Porta-crachás
Em PVC Cristal
Modelo Vertical
Tamanho: 80 X 120
Espessura: 0,13mm
Com cordão
Acondicionados em embalagem com 100 unidades </v>
      </c>
      <c r="D45" s="25" t="str">
        <f>Item43!C3</f>
        <v>unidade</v>
      </c>
      <c r="E45" s="25">
        <f>Item43!D3</f>
        <v>120000</v>
      </c>
      <c r="F45" s="26">
        <f>Item43!E3</f>
        <v>1.35</v>
      </c>
      <c r="G45" s="26">
        <f t="shared" si="2"/>
        <v>162000</v>
      </c>
    </row>
    <row r="46" spans="1:7" ht="180" x14ac:dyDescent="0.25">
      <c r="A46" s="25" t="s">
        <v>34</v>
      </c>
      <c r="B46" s="25">
        <f>Item44!A3</f>
        <v>44</v>
      </c>
      <c r="C46" s="27" t="str">
        <f>Item44!B3</f>
        <v xml:space="preserve">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B.3
É obrigatório o fornecimento de prova para exame antes da confecção final. </v>
      </c>
      <c r="D46" s="25" t="str">
        <f>Item44!C3</f>
        <v>unidade</v>
      </c>
      <c r="E46" s="25">
        <f>Item44!D3</f>
        <v>45000</v>
      </c>
      <c r="F46" s="26">
        <f>Item44!E3</f>
        <v>2.79</v>
      </c>
      <c r="G46" s="26">
        <f t="shared" si="2"/>
        <v>125550</v>
      </c>
    </row>
    <row r="47" spans="1:7" ht="255" x14ac:dyDescent="0.25">
      <c r="A47" s="25" t="s">
        <v>34</v>
      </c>
      <c r="B47" s="25">
        <f>Item45!A3</f>
        <v>45</v>
      </c>
      <c r="C47" s="27" t="str">
        <f>Item45!B3</f>
        <v xml:space="preserve">Fone de ouvido
Fone de ouvido supra-auricular sem microfone integrado; almofadas fechadas nos fones de ouvido para máximo isolamento;
haste ajustável;
Deverá ser de conexão com fio.  faixa de Frequência: entre 20Hz a 20kHz no mínimo;
impedância: 32 Ohms ou superior;
Conector: P2 estéreo de 3,5mm (para conexão com a urna eletrônica);
Comprimento mínimo do cabo: 1,5 metros.
Acondicionados em embalagem individual com o nome do fabricante e especificações técnicas. </v>
      </c>
      <c r="D47" s="25" t="str">
        <f>Item45!C3</f>
        <v>unidade</v>
      </c>
      <c r="E47" s="25">
        <f>Item45!D3</f>
        <v>32000</v>
      </c>
      <c r="F47" s="26">
        <f>Item45!E3</f>
        <v>19.91</v>
      </c>
      <c r="G47" s="26">
        <f t="shared" si="2"/>
        <v>637120</v>
      </c>
    </row>
    <row r="48" spans="1:7" ht="210" x14ac:dyDescent="0.25">
      <c r="A48" s="25" t="s">
        <v>34</v>
      </c>
      <c r="B48" s="25">
        <f>Item46!A3</f>
        <v>46</v>
      </c>
      <c r="C48" s="27" t="str">
        <f>Item46!B3</f>
        <v>Fone de ouvido
Fone de ouvido intra-auricular, sem microfone;
Deverá ser de conexão com fio.
Comprimento do cabo deverá ser de no mínimo: 1,2 metros;
Conector: P2 estéreo de 3,5mm (para conexão com a urna eletrônica);
Deverá ser de cor preta;
Faixa de frequência 20 hz a 20 khz, sensibilidade 98db +- 3 db,
Acondicionados em embalagem individual com o nome do fabricante e especificações técnicas</v>
      </c>
      <c r="D48" s="25" t="str">
        <f>Item46!C3</f>
        <v>unidade</v>
      </c>
      <c r="E48" s="25">
        <f>Item46!D3</f>
        <v>27000</v>
      </c>
      <c r="F48" s="26">
        <f>Item46!E3</f>
        <v>8.4</v>
      </c>
      <c r="G48" s="26">
        <f t="shared" si="2"/>
        <v>226800</v>
      </c>
    </row>
    <row r="49" spans="1:7" ht="315" x14ac:dyDescent="0.25">
      <c r="A49" s="25" t="s">
        <v>34</v>
      </c>
      <c r="B49" s="25">
        <f>Item47!A3</f>
        <v>47</v>
      </c>
      <c r="C49" s="27" t="str">
        <f>Item47!B3</f>
        <v xml:space="preserve">Pasta Tipo Malote
Material Bagum;
Cor: verde floresta;
Dimensões: 40 x 33 x 1,5 cm (LxAxP) –  variação ± 1,0 cm na altura ou na largura;
Com zíper e dois cursores nº 3, em cor preta;
Com bolso em plástico cristal transparente, com abertura no lado direito;
Acabamento em debrum, na cor amarelo claro;
Estampa do brasão da república e demais inscrições na cor branca;
Inscrições: Justiça Eleitoral
Tribunal Regional Eleitoral da Bahia
Conforme modelo apresentado no Anexo B.2, disponível na Seção de Gestão de Almoxarifado do TRE/BA.
Necessário o fornecimento de prova. </v>
      </c>
      <c r="D49" s="25" t="str">
        <f>Item47!C3</f>
        <v>unidade</v>
      </c>
      <c r="E49" s="25">
        <f>Item47!D3</f>
        <v>7500</v>
      </c>
      <c r="F49" s="26">
        <f>Item47!E3</f>
        <v>9.65</v>
      </c>
      <c r="G49" s="26">
        <f t="shared" si="2"/>
        <v>72375</v>
      </c>
    </row>
    <row r="50" spans="1:7" ht="60" x14ac:dyDescent="0.25">
      <c r="A50" s="25" t="s">
        <v>34</v>
      </c>
      <c r="B50" s="25">
        <f>Item48!A3</f>
        <v>48</v>
      </c>
      <c r="C50" s="27" t="str">
        <f>Item48!B3</f>
        <v xml:space="preserve">Fita adesiva COM timbre
Em polipropileno;
Dimensões: 48mm x 50m – largura x comprimento; </v>
      </c>
      <c r="D50" s="25" t="str">
        <f>Item48!C3</f>
        <v>rolo</v>
      </c>
      <c r="E50" s="25">
        <f>Item48!D3</f>
        <v>15000</v>
      </c>
      <c r="F50" s="26">
        <f>Item48!E3</f>
        <v>4.17</v>
      </c>
      <c r="G50" s="26">
        <f t="shared" si="2"/>
        <v>62550</v>
      </c>
    </row>
    <row r="51" spans="1:7" ht="120" x14ac:dyDescent="0.25">
      <c r="A51" s="25" t="s">
        <v>34</v>
      </c>
      <c r="B51" s="25">
        <f>Item49!A3</f>
        <v>49</v>
      </c>
      <c r="C51" s="27" t="str">
        <f>Item49!B3</f>
        <v>Fita adesiva
Em polipropileno;
Dimensões: 48mm x 50m – largura x comprimento;
Incolor;
Sem impressão;
Acondicionadas em caixas com até 100 unidades.</v>
      </c>
      <c r="D51" s="25" t="str">
        <f>Item49!C3</f>
        <v>rolo</v>
      </c>
      <c r="E51" s="25">
        <f>Item49!D3</f>
        <v>15000</v>
      </c>
      <c r="F51" s="26">
        <f>Item49!E3</f>
        <v>6.56</v>
      </c>
      <c r="G51" s="26">
        <f t="shared" si="2"/>
        <v>98400</v>
      </c>
    </row>
    <row r="52" spans="1:7" ht="60" x14ac:dyDescent="0.25">
      <c r="A52" s="25" t="s">
        <v>34</v>
      </c>
      <c r="B52" s="25">
        <f>Item50!A3</f>
        <v>50</v>
      </c>
      <c r="C52" s="27" t="str">
        <f>Item50!B3</f>
        <v xml:space="preserve">Pasta Arquivo com canaleta
Em plástico transparente
Com canaleta
Tamanho A4 </v>
      </c>
      <c r="D52" s="25" t="str">
        <f>Item50!C3</f>
        <v>unidade</v>
      </c>
      <c r="E52" s="25">
        <f>Item50!D3</f>
        <v>30000</v>
      </c>
      <c r="F52" s="26">
        <f>Item50!E3</f>
        <v>3.39</v>
      </c>
      <c r="G52" s="26">
        <f t="shared" si="2"/>
        <v>101700</v>
      </c>
    </row>
    <row r="53" spans="1:7" ht="15.75" thickBot="1" x14ac:dyDescent="0.3"/>
    <row r="54" spans="1:7" ht="16.5" thickTop="1" thickBot="1" x14ac:dyDescent="0.3">
      <c r="D54" s="22"/>
      <c r="E54" s="23" t="s">
        <v>33</v>
      </c>
      <c r="F54" s="24">
        <f>SUM(G:G)</f>
        <v>3700348</v>
      </c>
    </row>
    <row r="55" spans="1:7" ht="15.75" thickTop="1" x14ac:dyDescent="0.25">
      <c r="F55" s="3"/>
    </row>
    <row r="56" spans="1:7" x14ac:dyDescent="0.25">
      <c r="D56" s="21" t="s">
        <v>32</v>
      </c>
      <c r="E56" s="13">
        <f>MAX(A:A)</f>
        <v>0</v>
      </c>
    </row>
    <row r="58" spans="1:7" x14ac:dyDescent="0.25">
      <c r="D58" s="18" t="s">
        <v>31</v>
      </c>
      <c r="E58" s="19">
        <v>1</v>
      </c>
      <c r="F58" s="20">
        <f>SUMIF(A:A,E58,G:G)</f>
        <v>0</v>
      </c>
    </row>
    <row r="59" spans="1:7" x14ac:dyDescent="0.25">
      <c r="D59" s="18" t="s">
        <v>31</v>
      </c>
      <c r="E59" s="19">
        <v>2</v>
      </c>
      <c r="F59" s="20">
        <f>SUMIF(A:A,E59,G:G)</f>
        <v>0</v>
      </c>
    </row>
    <row r="60" spans="1:7" x14ac:dyDescent="0.25">
      <c r="D60" s="18" t="s">
        <v>31</v>
      </c>
      <c r="E60" s="19">
        <v>3</v>
      </c>
      <c r="F60" s="20">
        <f>SUMIF(A:A,E60,G:G)</f>
        <v>0</v>
      </c>
    </row>
    <row r="61" spans="1:7" x14ac:dyDescent="0.25">
      <c r="D61" s="18" t="s">
        <v>31</v>
      </c>
      <c r="E61" s="19">
        <v>4</v>
      </c>
      <c r="F61" s="20">
        <f>SUMIF(A:A,E61,G:G)</f>
        <v>0</v>
      </c>
    </row>
  </sheetData>
  <mergeCells count="1">
    <mergeCell ref="A1:G1"/>
  </mergeCells>
  <printOptions horizontalCentered="1"/>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17/01/2024&amp;Rn/a = não se aplica</oddFooter>
  </headerFooter>
  <rowBreaks count="1" manualBreakCount="1">
    <brk id="2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5" sqref="G1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6</v>
      </c>
      <c r="B3" s="32" t="s">
        <v>74</v>
      </c>
      <c r="C3" s="34" t="s">
        <v>39</v>
      </c>
      <c r="D3" s="34">
        <v>100</v>
      </c>
      <c r="E3" s="35">
        <f>IF(C20&lt;=25%,D20,MIN(E20:F20))</f>
        <v>41.61</v>
      </c>
      <c r="F3" s="35">
        <f>MIN(H3:H17)</f>
        <v>29.64</v>
      </c>
      <c r="G3" s="5" t="s">
        <v>50</v>
      </c>
      <c r="H3" s="16">
        <v>65.099999999999994</v>
      </c>
      <c r="I3" s="17" t="str">
        <f>IF(H3="","",(IF($C$20&lt;25%,"n/a",IF(H3&lt;=($D$20+$A$20),H3,"Descartado"))))</f>
        <v>Descartado</v>
      </c>
    </row>
    <row r="4" spans="1:9" x14ac:dyDescent="0.25">
      <c r="A4" s="36"/>
      <c r="B4" s="33"/>
      <c r="C4" s="34"/>
      <c r="D4" s="34"/>
      <c r="E4" s="35"/>
      <c r="F4" s="35"/>
      <c r="G4" s="5" t="s">
        <v>75</v>
      </c>
      <c r="H4" s="16">
        <v>42.96</v>
      </c>
      <c r="I4" s="17">
        <f t="shared" ref="I4:I17" si="0">IF(H4="","",(IF($C$20&lt;25%,"n/a",IF(H4&lt;=($D$20+$A$20),H4,"Descartado"))))</f>
        <v>42.96</v>
      </c>
    </row>
    <row r="5" spans="1:9" x14ac:dyDescent="0.25">
      <c r="A5" s="36"/>
      <c r="B5" s="33"/>
      <c r="C5" s="34"/>
      <c r="D5" s="34"/>
      <c r="E5" s="35"/>
      <c r="F5" s="35"/>
      <c r="G5" s="5" t="s">
        <v>76</v>
      </c>
      <c r="H5" s="16">
        <v>65</v>
      </c>
      <c r="I5" s="17" t="str">
        <f t="shared" si="0"/>
        <v>Descartado</v>
      </c>
    </row>
    <row r="6" spans="1:9" x14ac:dyDescent="0.25">
      <c r="A6" s="36"/>
      <c r="B6" s="33"/>
      <c r="C6" s="34"/>
      <c r="D6" s="34"/>
      <c r="E6" s="35"/>
      <c r="F6" s="35"/>
      <c r="G6" s="5" t="s">
        <v>70</v>
      </c>
      <c r="H6" s="16">
        <v>44.16</v>
      </c>
      <c r="I6" s="17">
        <f t="shared" si="0"/>
        <v>44.16</v>
      </c>
    </row>
    <row r="7" spans="1:9" x14ac:dyDescent="0.25">
      <c r="A7" s="36"/>
      <c r="B7" s="33"/>
      <c r="C7" s="34"/>
      <c r="D7" s="34"/>
      <c r="E7" s="35"/>
      <c r="F7" s="35"/>
      <c r="G7" s="5" t="s">
        <v>77</v>
      </c>
      <c r="H7" s="16">
        <v>59.4</v>
      </c>
      <c r="I7" s="17">
        <f t="shared" si="0"/>
        <v>59.4</v>
      </c>
    </row>
    <row r="8" spans="1:9" x14ac:dyDescent="0.25">
      <c r="A8" s="36"/>
      <c r="B8" s="33"/>
      <c r="C8" s="34"/>
      <c r="D8" s="34"/>
      <c r="E8" s="35"/>
      <c r="F8" s="35"/>
      <c r="G8" s="5" t="s">
        <v>78</v>
      </c>
      <c r="H8" s="16">
        <v>29.64</v>
      </c>
      <c r="I8" s="17">
        <f t="shared" si="0"/>
        <v>29.64</v>
      </c>
    </row>
    <row r="9" spans="1:9" x14ac:dyDescent="0.25">
      <c r="A9" s="36"/>
      <c r="B9" s="33"/>
      <c r="C9" s="34"/>
      <c r="D9" s="34"/>
      <c r="E9" s="35"/>
      <c r="F9" s="35"/>
      <c r="G9" s="5" t="s">
        <v>79</v>
      </c>
      <c r="H9" s="16">
        <v>31.92</v>
      </c>
      <c r="I9" s="17">
        <f t="shared" si="0"/>
        <v>31.92</v>
      </c>
    </row>
    <row r="10" spans="1:9" x14ac:dyDescent="0.25">
      <c r="A10" s="36"/>
      <c r="B10" s="33"/>
      <c r="C10" s="34"/>
      <c r="D10" s="34"/>
      <c r="E10" s="35"/>
      <c r="F10" s="35"/>
      <c r="G10" s="5" t="s">
        <v>80</v>
      </c>
      <c r="H10" s="16">
        <v>39.479999999999997</v>
      </c>
      <c r="I10" s="17">
        <f t="shared" si="0"/>
        <v>39.479999999999997</v>
      </c>
    </row>
    <row r="11" spans="1:9" x14ac:dyDescent="0.25">
      <c r="A11" s="36"/>
      <c r="B11" s="33"/>
      <c r="C11" s="34"/>
      <c r="D11" s="34"/>
      <c r="E11" s="35"/>
      <c r="F11" s="35"/>
      <c r="G11" s="5" t="s">
        <v>81</v>
      </c>
      <c r="H11" s="16">
        <v>43.68</v>
      </c>
      <c r="I11" s="17">
        <f t="shared" si="0"/>
        <v>43.68</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13.350092800343278</v>
      </c>
      <c r="B20" s="8">
        <f>COUNT(H3:H17)</f>
        <v>9</v>
      </c>
      <c r="C20" s="9">
        <f>IF(B20&lt;2,"n/a",(A20/D20))</f>
        <v>0.28513653994752836</v>
      </c>
      <c r="D20" s="10">
        <f>IFERROR(ROUND(AVERAGE(H3:H17),2),"")</f>
        <v>46.82</v>
      </c>
      <c r="E20" s="15">
        <f>IFERROR(ROUND(IF(B20&lt;2,"n/a",(IF(C20&lt;=25%,"n/a",AVERAGE(I3:I17)))),2),"n/a")</f>
        <v>41.61</v>
      </c>
      <c r="F20" s="10">
        <f>IFERROR(ROUND(MEDIAN(H3:H17),2),"")</f>
        <v>43.68</v>
      </c>
      <c r="G20" s="11" t="str">
        <f>IFERROR(INDEX(G3:G17,MATCH(H20,H3:H17,0)),"")</f>
        <v>ALISSON DE OLIVEIRA COSTA</v>
      </c>
      <c r="H20" s="12">
        <f>F3</f>
        <v>29.64</v>
      </c>
    </row>
    <row r="22" spans="1:9" x14ac:dyDescent="0.25">
      <c r="G22" s="13" t="s">
        <v>20</v>
      </c>
      <c r="H22" s="14">
        <f>IF(C20&lt;=25%,D20,MIN(E20:F20))</f>
        <v>41.61</v>
      </c>
    </row>
    <row r="23" spans="1:9" x14ac:dyDescent="0.25">
      <c r="G23" s="13" t="s">
        <v>6</v>
      </c>
      <c r="H23" s="14">
        <f>ROUND(H22,2)*D3</f>
        <v>4161</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7</v>
      </c>
      <c r="B3" s="32" t="s">
        <v>82</v>
      </c>
      <c r="C3" s="34" t="s">
        <v>7</v>
      </c>
      <c r="D3" s="34">
        <v>5000</v>
      </c>
      <c r="E3" s="35">
        <f>IF(C20&lt;=25%,D20,MIN(E20:F20))</f>
        <v>5.83</v>
      </c>
      <c r="F3" s="35">
        <f>MIN(H3:H17)</f>
        <v>3.83</v>
      </c>
      <c r="G3" s="5" t="s">
        <v>52</v>
      </c>
      <c r="H3" s="16">
        <v>18.5</v>
      </c>
      <c r="I3" s="17" t="str">
        <f>IF(H3="","",(IF($C$20&lt;25%,"n/a",IF(H3&lt;=($D$20+$A$20),H3,"Descartado"))))</f>
        <v>Descartado</v>
      </c>
    </row>
    <row r="4" spans="1:9" x14ac:dyDescent="0.25">
      <c r="A4" s="36"/>
      <c r="B4" s="33"/>
      <c r="C4" s="34"/>
      <c r="D4" s="34"/>
      <c r="E4" s="35"/>
      <c r="F4" s="35"/>
      <c r="G4" s="5" t="s">
        <v>36</v>
      </c>
      <c r="H4" s="16">
        <v>9</v>
      </c>
      <c r="I4" s="17">
        <f t="shared" ref="I4:I17" si="0">IF(H4="","",(IF($C$20&lt;25%,"n/a",IF(H4&lt;=($D$20+$A$20),H4,"Descartado"))))</f>
        <v>9</v>
      </c>
    </row>
    <row r="5" spans="1:9" x14ac:dyDescent="0.25">
      <c r="A5" s="36"/>
      <c r="B5" s="33"/>
      <c r="C5" s="34"/>
      <c r="D5" s="34"/>
      <c r="E5" s="35"/>
      <c r="F5" s="35"/>
      <c r="G5" s="5" t="s">
        <v>83</v>
      </c>
      <c r="H5" s="16">
        <v>6.99</v>
      </c>
      <c r="I5" s="17">
        <f t="shared" si="0"/>
        <v>6.99</v>
      </c>
    </row>
    <row r="6" spans="1:9" x14ac:dyDescent="0.25">
      <c r="A6" s="36"/>
      <c r="B6" s="33"/>
      <c r="C6" s="34"/>
      <c r="D6" s="34"/>
      <c r="E6" s="35"/>
      <c r="F6" s="35"/>
      <c r="G6" s="5" t="s">
        <v>84</v>
      </c>
      <c r="H6" s="16">
        <v>3.83</v>
      </c>
      <c r="I6" s="17">
        <f t="shared" si="0"/>
        <v>3.83</v>
      </c>
    </row>
    <row r="7" spans="1:9" x14ac:dyDescent="0.25">
      <c r="A7" s="36"/>
      <c r="B7" s="33"/>
      <c r="C7" s="34"/>
      <c r="D7" s="34"/>
      <c r="E7" s="35"/>
      <c r="F7" s="35"/>
      <c r="G7" s="5" t="s">
        <v>85</v>
      </c>
      <c r="H7" s="16">
        <v>3.9</v>
      </c>
      <c r="I7" s="17">
        <f t="shared" si="0"/>
        <v>3.9</v>
      </c>
    </row>
    <row r="8" spans="1:9" x14ac:dyDescent="0.25">
      <c r="A8" s="36"/>
      <c r="B8" s="33"/>
      <c r="C8" s="34"/>
      <c r="D8" s="34"/>
      <c r="E8" s="35"/>
      <c r="F8" s="35"/>
      <c r="G8" s="5" t="s">
        <v>86</v>
      </c>
      <c r="H8" s="16">
        <v>3.93</v>
      </c>
      <c r="I8" s="17">
        <f t="shared" si="0"/>
        <v>3.93</v>
      </c>
    </row>
    <row r="9" spans="1:9" x14ac:dyDescent="0.25">
      <c r="A9" s="36"/>
      <c r="B9" s="33"/>
      <c r="C9" s="34"/>
      <c r="D9" s="34"/>
      <c r="E9" s="35"/>
      <c r="F9" s="35"/>
      <c r="G9" s="5" t="s">
        <v>87</v>
      </c>
      <c r="H9" s="16">
        <v>7.35</v>
      </c>
      <c r="I9" s="17">
        <f t="shared" si="0"/>
        <v>7.35</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5.2051823992559392</v>
      </c>
      <c r="B20" s="8">
        <f>COUNT(H3:H17)</f>
        <v>7</v>
      </c>
      <c r="C20" s="9">
        <f>IF(B20&lt;2,"n/a",(A20/D20))</f>
        <v>0.68130659676124861</v>
      </c>
      <c r="D20" s="10">
        <f>IFERROR(ROUND(AVERAGE(H3:H17),2),"")</f>
        <v>7.64</v>
      </c>
      <c r="E20" s="15">
        <f>IFERROR(ROUND(IF(B20&lt;2,"n/a",(IF(C20&lt;=25%,"n/a",AVERAGE(I3:I17)))),2),"n/a")</f>
        <v>5.83</v>
      </c>
      <c r="F20" s="10">
        <f>IFERROR(ROUND(MEDIAN(H3:H17),2),"")</f>
        <v>6.99</v>
      </c>
      <c r="G20" s="11" t="str">
        <f>IFERROR(INDEX(G3:G17,MATCH(H20,H3:H17,0)),"")</f>
        <v>SUPRIMAX COMERCIAL</v>
      </c>
      <c r="H20" s="12">
        <f>F3</f>
        <v>3.83</v>
      </c>
    </row>
    <row r="22" spans="1:9" x14ac:dyDescent="0.25">
      <c r="G22" s="13" t="s">
        <v>20</v>
      </c>
      <c r="H22" s="14">
        <f>IF(C20&lt;=25%,D20,MIN(E20:F20))</f>
        <v>5.83</v>
      </c>
    </row>
    <row r="23" spans="1:9" x14ac:dyDescent="0.25">
      <c r="G23" s="13" t="s">
        <v>6</v>
      </c>
      <c r="H23" s="14">
        <f>ROUND(H22,2)*D3</f>
        <v>29150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4" sqref="G14"/>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8</v>
      </c>
      <c r="B3" s="32" t="s">
        <v>88</v>
      </c>
      <c r="C3" s="34" t="s">
        <v>7</v>
      </c>
      <c r="D3" s="34">
        <v>1500</v>
      </c>
      <c r="E3" s="35">
        <f>IF(C20&lt;=25%,D20,MIN(E20:F20))</f>
        <v>20.22</v>
      </c>
      <c r="F3" s="35">
        <f>MIN(H3:H17)</f>
        <v>4.68</v>
      </c>
      <c r="G3" s="5" t="s">
        <v>37</v>
      </c>
      <c r="H3" s="16">
        <v>59.44</v>
      </c>
      <c r="I3" s="17" t="str">
        <f>IF(H3="","",(IF($C$20&lt;25%,"n/a",IF(H3&lt;=($D$20+$A$20),H3,"Descartado"))))</f>
        <v>Descartado</v>
      </c>
    </row>
    <row r="4" spans="1:9" x14ac:dyDescent="0.25">
      <c r="A4" s="36"/>
      <c r="B4" s="33"/>
      <c r="C4" s="34"/>
      <c r="D4" s="34"/>
      <c r="E4" s="35"/>
      <c r="F4" s="35"/>
      <c r="G4" s="5" t="s">
        <v>89</v>
      </c>
      <c r="H4" s="16">
        <v>36.96</v>
      </c>
      <c r="I4" s="17">
        <f t="shared" ref="I4:I17" si="0">IF(H4="","",(IF($C$20&lt;25%,"n/a",IF(H4&lt;=($D$20+$A$20),H4,"Descartado"))))</f>
        <v>36.96</v>
      </c>
    </row>
    <row r="5" spans="1:9" x14ac:dyDescent="0.25">
      <c r="A5" s="36"/>
      <c r="B5" s="33"/>
      <c r="C5" s="34"/>
      <c r="D5" s="34"/>
      <c r="E5" s="35"/>
      <c r="F5" s="35"/>
      <c r="G5" s="5" t="s">
        <v>90</v>
      </c>
      <c r="H5" s="16">
        <v>27.29</v>
      </c>
      <c r="I5" s="17">
        <f t="shared" si="0"/>
        <v>27.29</v>
      </c>
    </row>
    <row r="6" spans="1:9" x14ac:dyDescent="0.25">
      <c r="A6" s="36"/>
      <c r="B6" s="33"/>
      <c r="C6" s="34"/>
      <c r="D6" s="34"/>
      <c r="E6" s="35"/>
      <c r="F6" s="35"/>
      <c r="G6" s="5" t="s">
        <v>91</v>
      </c>
      <c r="H6" s="16">
        <v>13.9</v>
      </c>
      <c r="I6" s="17">
        <f t="shared" si="0"/>
        <v>13.9</v>
      </c>
    </row>
    <row r="7" spans="1:9" x14ac:dyDescent="0.25">
      <c r="A7" s="36"/>
      <c r="B7" s="33"/>
      <c r="C7" s="34"/>
      <c r="D7" s="34"/>
      <c r="E7" s="35"/>
      <c r="F7" s="35"/>
      <c r="G7" s="5" t="s">
        <v>92</v>
      </c>
      <c r="H7" s="16">
        <v>22.9</v>
      </c>
      <c r="I7" s="17">
        <f t="shared" si="0"/>
        <v>22.9</v>
      </c>
    </row>
    <row r="8" spans="1:9" x14ac:dyDescent="0.25">
      <c r="A8" s="36"/>
      <c r="B8" s="33"/>
      <c r="C8" s="34"/>
      <c r="D8" s="34"/>
      <c r="E8" s="35"/>
      <c r="F8" s="35"/>
      <c r="G8" s="5" t="s">
        <v>93</v>
      </c>
      <c r="H8" s="16">
        <v>23.1</v>
      </c>
      <c r="I8" s="17">
        <f t="shared" si="0"/>
        <v>23.1</v>
      </c>
    </row>
    <row r="9" spans="1:9" x14ac:dyDescent="0.25">
      <c r="A9" s="36"/>
      <c r="B9" s="33"/>
      <c r="C9" s="34"/>
      <c r="D9" s="34"/>
      <c r="E9" s="35"/>
      <c r="F9" s="35"/>
      <c r="G9" s="5" t="s">
        <v>36</v>
      </c>
      <c r="H9" s="16">
        <v>25.7</v>
      </c>
      <c r="I9" s="17">
        <f t="shared" si="0"/>
        <v>25.7</v>
      </c>
    </row>
    <row r="10" spans="1:9" x14ac:dyDescent="0.25">
      <c r="A10" s="36"/>
      <c r="B10" s="33"/>
      <c r="C10" s="34"/>
      <c r="D10" s="34"/>
      <c r="E10" s="35"/>
      <c r="F10" s="35"/>
      <c r="G10" s="5" t="s">
        <v>94</v>
      </c>
      <c r="H10" s="16">
        <v>4.68</v>
      </c>
      <c r="I10" s="17">
        <f t="shared" si="0"/>
        <v>4.68</v>
      </c>
    </row>
    <row r="11" spans="1:9" x14ac:dyDescent="0.25">
      <c r="A11" s="36"/>
      <c r="B11" s="33"/>
      <c r="C11" s="34"/>
      <c r="D11" s="34"/>
      <c r="E11" s="35"/>
      <c r="F11" s="35"/>
      <c r="G11" s="5" t="s">
        <v>95</v>
      </c>
      <c r="H11" s="16">
        <v>7.25</v>
      </c>
      <c r="I11" s="17">
        <f t="shared" si="0"/>
        <v>7.25</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16.55482029500773</v>
      </c>
      <c r="B20" s="8">
        <f>COUNT(H3:H17)</f>
        <v>9</v>
      </c>
      <c r="C20" s="9">
        <f>IF(B20&lt;2,"n/a",(A20/D20))</f>
        <v>0.67350774186361806</v>
      </c>
      <c r="D20" s="10">
        <f>IFERROR(ROUND(AVERAGE(H3:H17),2),"")</f>
        <v>24.58</v>
      </c>
      <c r="E20" s="15">
        <f>IFERROR(ROUND(IF(B20&lt;2,"n/a",(IF(C20&lt;=25%,"n/a",AVERAGE(I3:I17)))),2),"n/a")</f>
        <v>20.22</v>
      </c>
      <c r="F20" s="10">
        <f>IFERROR(ROUND(MEDIAN(H3:H17),2),"")</f>
        <v>23.1</v>
      </c>
      <c r="G20" s="11" t="str">
        <f>IFERROR(INDEX(G3:G17,MATCH(H20,H3:H17,0)),"")</f>
        <v>PAPELARIA AQUARELA</v>
      </c>
      <c r="H20" s="12">
        <f>F3</f>
        <v>4.68</v>
      </c>
    </row>
    <row r="22" spans="1:9" x14ac:dyDescent="0.25">
      <c r="G22" s="13" t="s">
        <v>20</v>
      </c>
      <c r="H22" s="14">
        <f>IF(C20&lt;=25%,D20,MIN(E20:F20))</f>
        <v>20.22</v>
      </c>
    </row>
    <row r="23" spans="1:9" x14ac:dyDescent="0.25">
      <c r="G23" s="13" t="s">
        <v>6</v>
      </c>
      <c r="H23" s="14">
        <f>ROUND(H22,2)*D3</f>
        <v>30330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3" sqref="G13"/>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1" t="s">
        <v>8</v>
      </c>
      <c r="B1" s="31"/>
      <c r="C1" s="31"/>
      <c r="D1" s="31"/>
      <c r="E1" s="31"/>
      <c r="F1" s="31"/>
      <c r="G1" s="31"/>
      <c r="H1" s="31"/>
      <c r="I1" s="31"/>
    </row>
    <row r="2" spans="1:9" s="4" customFormat="1" ht="36" x14ac:dyDescent="0.25">
      <c r="A2" s="6" t="s">
        <v>1</v>
      </c>
      <c r="B2" s="6" t="s">
        <v>2</v>
      </c>
      <c r="C2" s="6" t="s">
        <v>3</v>
      </c>
      <c r="D2" s="6" t="s">
        <v>4</v>
      </c>
      <c r="E2" s="6" t="s">
        <v>9</v>
      </c>
      <c r="F2" s="6" t="s">
        <v>10</v>
      </c>
      <c r="G2" s="6" t="s">
        <v>11</v>
      </c>
      <c r="H2" s="6" t="s">
        <v>12</v>
      </c>
      <c r="I2" s="6" t="s">
        <v>13</v>
      </c>
    </row>
    <row r="3" spans="1:9" x14ac:dyDescent="0.25">
      <c r="A3" s="36">
        <v>9</v>
      </c>
      <c r="B3" s="32" t="s">
        <v>96</v>
      </c>
      <c r="C3" s="34" t="s">
        <v>39</v>
      </c>
      <c r="D3" s="34">
        <v>6000</v>
      </c>
      <c r="E3" s="35">
        <f>IF(C20&lt;=25%,D20,MIN(E20:F20))</f>
        <v>4.1100000000000003</v>
      </c>
      <c r="F3" s="35">
        <f>MIN(H3:H17)</f>
        <v>2.1</v>
      </c>
      <c r="G3" s="5" t="s">
        <v>97</v>
      </c>
      <c r="H3" s="16">
        <v>5.9</v>
      </c>
      <c r="I3" s="17">
        <f>IF(H3="","",(IF($C$20&lt;25%,"n/a",IF(H3&lt;=($D$20+$A$20),H3,"Descartado"))))</f>
        <v>5.9</v>
      </c>
    </row>
    <row r="4" spans="1:9" x14ac:dyDescent="0.25">
      <c r="A4" s="36"/>
      <c r="B4" s="33"/>
      <c r="C4" s="34"/>
      <c r="D4" s="34"/>
      <c r="E4" s="35"/>
      <c r="F4" s="35"/>
      <c r="G4" s="5" t="s">
        <v>36</v>
      </c>
      <c r="H4" s="16">
        <v>3.1</v>
      </c>
      <c r="I4" s="17">
        <f t="shared" ref="I4:I17" si="0">IF(H4="","",(IF($C$20&lt;25%,"n/a",IF(H4&lt;=($D$20+$A$20),H4,"Descartado"))))</f>
        <v>3.1</v>
      </c>
    </row>
    <row r="5" spans="1:9" x14ac:dyDescent="0.25">
      <c r="A5" s="36"/>
      <c r="B5" s="33"/>
      <c r="C5" s="34"/>
      <c r="D5" s="34"/>
      <c r="E5" s="35"/>
      <c r="F5" s="35"/>
      <c r="G5" s="5" t="s">
        <v>98</v>
      </c>
      <c r="H5" s="16">
        <v>2.1</v>
      </c>
      <c r="I5" s="17">
        <f t="shared" si="0"/>
        <v>2.1</v>
      </c>
    </row>
    <row r="6" spans="1:9" x14ac:dyDescent="0.25">
      <c r="A6" s="36"/>
      <c r="B6" s="33"/>
      <c r="C6" s="34"/>
      <c r="D6" s="34"/>
      <c r="E6" s="35"/>
      <c r="F6" s="35"/>
      <c r="G6" s="5" t="s">
        <v>99</v>
      </c>
      <c r="H6" s="16">
        <v>3.99</v>
      </c>
      <c r="I6" s="17">
        <f t="shared" si="0"/>
        <v>3.99</v>
      </c>
    </row>
    <row r="7" spans="1:9" x14ac:dyDescent="0.25">
      <c r="A7" s="36"/>
      <c r="B7" s="33"/>
      <c r="C7" s="34"/>
      <c r="D7" s="34"/>
      <c r="E7" s="35"/>
      <c r="F7" s="35"/>
      <c r="G7" s="5" t="s">
        <v>100</v>
      </c>
      <c r="H7" s="16">
        <v>4.79</v>
      </c>
      <c r="I7" s="17">
        <f t="shared" si="0"/>
        <v>4.79</v>
      </c>
    </row>
    <row r="8" spans="1:9" x14ac:dyDescent="0.25">
      <c r="A8" s="36"/>
      <c r="B8" s="33"/>
      <c r="C8" s="34"/>
      <c r="D8" s="34"/>
      <c r="E8" s="35"/>
      <c r="F8" s="35"/>
      <c r="G8" s="5" t="s">
        <v>101</v>
      </c>
      <c r="H8" s="16">
        <v>4.8</v>
      </c>
      <c r="I8" s="17">
        <f t="shared" si="0"/>
        <v>4.8</v>
      </c>
    </row>
    <row r="9" spans="1:9" x14ac:dyDescent="0.25">
      <c r="A9" s="36"/>
      <c r="B9" s="33"/>
      <c r="C9" s="34"/>
      <c r="D9" s="34"/>
      <c r="E9" s="35"/>
      <c r="F9" s="35"/>
      <c r="G9" s="5" t="s">
        <v>102</v>
      </c>
      <c r="H9" s="16">
        <v>9</v>
      </c>
      <c r="I9" s="17" t="str">
        <f t="shared" si="0"/>
        <v>Descartado</v>
      </c>
    </row>
    <row r="10" spans="1:9" x14ac:dyDescent="0.25">
      <c r="A10" s="36"/>
      <c r="B10" s="33"/>
      <c r="C10" s="34"/>
      <c r="D10" s="34"/>
      <c r="E10" s="35"/>
      <c r="F10" s="35"/>
      <c r="G10" s="5"/>
      <c r="H10" s="16"/>
      <c r="I10" s="17" t="str">
        <f t="shared" si="0"/>
        <v/>
      </c>
    </row>
    <row r="11" spans="1:9" x14ac:dyDescent="0.25">
      <c r="A11" s="36"/>
      <c r="B11" s="33"/>
      <c r="C11" s="34"/>
      <c r="D11" s="34"/>
      <c r="E11" s="35"/>
      <c r="F11" s="35"/>
      <c r="G11" s="5"/>
      <c r="H11" s="16"/>
      <c r="I11" s="17" t="str">
        <f t="shared" si="0"/>
        <v/>
      </c>
    </row>
    <row r="12" spans="1:9" x14ac:dyDescent="0.25">
      <c r="A12" s="36"/>
      <c r="B12" s="33"/>
      <c r="C12" s="34"/>
      <c r="D12" s="34"/>
      <c r="E12" s="35"/>
      <c r="F12" s="35"/>
      <c r="G12" s="5"/>
      <c r="H12" s="16"/>
      <c r="I12" s="17" t="str">
        <f t="shared" si="0"/>
        <v/>
      </c>
    </row>
    <row r="13" spans="1:9" x14ac:dyDescent="0.25">
      <c r="A13" s="36"/>
      <c r="B13" s="33"/>
      <c r="C13" s="34"/>
      <c r="D13" s="34"/>
      <c r="E13" s="35"/>
      <c r="F13" s="35"/>
      <c r="G13" s="5"/>
      <c r="H13" s="16"/>
      <c r="I13" s="17" t="str">
        <f t="shared" si="0"/>
        <v/>
      </c>
    </row>
    <row r="14" spans="1:9" x14ac:dyDescent="0.25">
      <c r="A14" s="36"/>
      <c r="B14" s="33"/>
      <c r="C14" s="34"/>
      <c r="D14" s="34"/>
      <c r="E14" s="35"/>
      <c r="F14" s="35"/>
      <c r="G14" s="5"/>
      <c r="H14" s="16"/>
      <c r="I14" s="17" t="str">
        <f t="shared" si="0"/>
        <v/>
      </c>
    </row>
    <row r="15" spans="1:9" x14ac:dyDescent="0.25">
      <c r="A15" s="36"/>
      <c r="B15" s="33"/>
      <c r="C15" s="34"/>
      <c r="D15" s="34"/>
      <c r="E15" s="35"/>
      <c r="F15" s="35"/>
      <c r="G15" s="5"/>
      <c r="H15" s="16"/>
      <c r="I15" s="17" t="str">
        <f t="shared" si="0"/>
        <v/>
      </c>
    </row>
    <row r="16" spans="1:9" x14ac:dyDescent="0.25">
      <c r="A16" s="36"/>
      <c r="B16" s="33"/>
      <c r="C16" s="34"/>
      <c r="D16" s="34"/>
      <c r="E16" s="35"/>
      <c r="F16" s="35"/>
      <c r="G16" s="5"/>
      <c r="H16" s="16"/>
      <c r="I16" s="17" t="str">
        <f t="shared" si="0"/>
        <v/>
      </c>
    </row>
    <row r="17" spans="1:9" x14ac:dyDescent="0.25">
      <c r="A17" s="36"/>
      <c r="B17" s="33"/>
      <c r="C17" s="34"/>
      <c r="D17" s="34"/>
      <c r="E17" s="35"/>
      <c r="F17" s="35"/>
      <c r="G17" s="5"/>
      <c r="H17" s="16"/>
      <c r="I17" s="17" t="str">
        <f t="shared" si="0"/>
        <v/>
      </c>
    </row>
    <row r="19" spans="1:9" s="4" customFormat="1" ht="24" x14ac:dyDescent="0.25">
      <c r="A19" s="6" t="s">
        <v>14</v>
      </c>
      <c r="B19" s="6" t="s">
        <v>15</v>
      </c>
      <c r="C19" s="6" t="s">
        <v>25</v>
      </c>
      <c r="D19" s="6" t="s">
        <v>16</v>
      </c>
      <c r="E19" s="6" t="s">
        <v>17</v>
      </c>
      <c r="F19" s="6" t="s">
        <v>18</v>
      </c>
      <c r="G19" s="30" t="s">
        <v>19</v>
      </c>
      <c r="H19" s="30"/>
    </row>
    <row r="20" spans="1:9" x14ac:dyDescent="0.25">
      <c r="A20" s="8">
        <f>IF(B20&lt;2,"n/a",(_xlfn.STDEV.S(H3:H17)))</f>
        <v>2.2243083462163278</v>
      </c>
      <c r="B20" s="8">
        <f>COUNT(H3:H17)</f>
        <v>7</v>
      </c>
      <c r="C20" s="9">
        <f>IF(B20&lt;2,"n/a",(A20/D20))</f>
        <v>0.46243416761254219</v>
      </c>
      <c r="D20" s="10">
        <f>IFERROR(ROUND(AVERAGE(H3:H17),2),"")</f>
        <v>4.8099999999999996</v>
      </c>
      <c r="E20" s="15">
        <f>IFERROR(ROUND(IF(B20&lt;2,"n/a",(IF(C20&lt;=25%,"n/a",AVERAGE(I3:I17)))),2),"n/a")</f>
        <v>4.1100000000000003</v>
      </c>
      <c r="F20" s="10">
        <f>IFERROR(ROUND(MEDIAN(H3:H17),2),"")</f>
        <v>4.79</v>
      </c>
      <c r="G20" s="11" t="str">
        <f>IFERROR(INDEX(G3:G17,MATCH(H20,H3:H17,0)),"")</f>
        <v>OBRA &amp; LAR</v>
      </c>
      <c r="H20" s="12">
        <f>F3</f>
        <v>2.1</v>
      </c>
    </row>
    <row r="22" spans="1:9" x14ac:dyDescent="0.25">
      <c r="G22" s="13" t="s">
        <v>20</v>
      </c>
      <c r="H22" s="14">
        <f>IF(C20&lt;=25%,D20,MIN(E20:F20))</f>
        <v>4.1100000000000003</v>
      </c>
    </row>
    <row r="23" spans="1:9" x14ac:dyDescent="0.25">
      <c r="G23" s="13" t="s">
        <v>6</v>
      </c>
      <c r="H23" s="14">
        <f>ROUND(H22,2)*D3</f>
        <v>24660.000000000004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51</vt:i4>
      </vt:variant>
      <vt:variant>
        <vt:lpstr>Intervalos nomeados</vt:lpstr>
      </vt:variant>
      <vt:variant>
        <vt:i4>2</vt:i4>
      </vt:variant>
    </vt:vector>
  </HeadingPairs>
  <TitlesOfParts>
    <vt:vector size="53"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2024-02-22T17:22:46Z</cp:lastPrinted>
  <dcterms:created xsi:type="dcterms:W3CDTF">2023-11-07T17:10:34Z</dcterms:created>
  <dcterms:modified xsi:type="dcterms:W3CDTF">2024-02-22T17:22:48Z</dcterms:modified>
</cp:coreProperties>
</file>