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firstSheet="9" activeTab="27"/>
  </bookViews>
  <sheets>
    <sheet name="Item1" sheetId="1" r:id="rId1"/>
    <sheet name="Item2" sheetId="4" r:id="rId2"/>
    <sheet name="Item3" sheetId="5" r:id="rId3"/>
    <sheet name="Item4" sheetId="6" r:id="rId4"/>
    <sheet name="Item5" sheetId="7" r:id="rId5"/>
    <sheet name="Item6" sheetId="8" r:id="rId6"/>
    <sheet name="Item7" sheetId="9" r:id="rId7"/>
    <sheet name="Item8" sheetId="10" r:id="rId8"/>
    <sheet name="Item9" sheetId="11" r:id="rId9"/>
    <sheet name="Item10" sheetId="12" r:id="rId10"/>
    <sheet name="Item11" sheetId="13" r:id="rId11"/>
    <sheet name="Item12" sheetId="14" r:id="rId12"/>
    <sheet name="Item13" sheetId="15" r:id="rId13"/>
    <sheet name="Item14" sheetId="16" r:id="rId14"/>
    <sheet name="Item15" sheetId="17" r:id="rId15"/>
    <sheet name="Item16" sheetId="18" r:id="rId16"/>
    <sheet name="Item17" sheetId="19" r:id="rId17"/>
    <sheet name="Item18" sheetId="20" r:id="rId18"/>
    <sheet name="Item19" sheetId="21" r:id="rId19"/>
    <sheet name="Item20" sheetId="22" r:id="rId20"/>
    <sheet name="Item21" sheetId="24" r:id="rId21"/>
    <sheet name="Item22" sheetId="25" r:id="rId22"/>
    <sheet name="Item23" sheetId="26" r:id="rId23"/>
    <sheet name="Item24" sheetId="27" r:id="rId24"/>
    <sheet name="Item25" sheetId="28" r:id="rId25"/>
    <sheet name="Item26" sheetId="29" r:id="rId26"/>
    <sheet name="Item27" sheetId="30" r:id="rId27"/>
    <sheet name="total" sheetId="23" r:id="rId28"/>
  </sheets>
  <definedNames>
    <definedName name="_xlnm.Print_Titles" localSheetId="27">total!$1:$2</definedName>
  </definedNames>
  <calcPr calcId="145621"/>
</workbook>
</file>

<file path=xl/calcChain.xml><?xml version="1.0" encoding="utf-8"?>
<calcChain xmlns="http://schemas.openxmlformats.org/spreadsheetml/2006/main">
  <c r="C23" i="23" l="1"/>
  <c r="D23" i="23"/>
  <c r="E23" i="23"/>
  <c r="C24" i="23"/>
  <c r="D24" i="23"/>
  <c r="E24" i="23"/>
  <c r="C25" i="23"/>
  <c r="D25" i="23"/>
  <c r="E25" i="23"/>
  <c r="C26" i="23"/>
  <c r="D26" i="23"/>
  <c r="E26" i="23"/>
  <c r="C27" i="23"/>
  <c r="D27" i="23"/>
  <c r="E27" i="23"/>
  <c r="C28" i="23"/>
  <c r="D28" i="23"/>
  <c r="E28" i="23"/>
  <c r="C29" i="23"/>
  <c r="D29" i="23"/>
  <c r="E29" i="23"/>
  <c r="B29" i="23"/>
  <c r="B28" i="23"/>
  <c r="B27" i="23"/>
  <c r="B26" i="23"/>
  <c r="B25" i="23"/>
  <c r="B24" i="23"/>
  <c r="B23" i="23"/>
  <c r="F20" i="30"/>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E34" i="23"/>
  <c r="C4" i="23"/>
  <c r="D4" i="23"/>
  <c r="E4" i="23"/>
  <c r="C5" i="23"/>
  <c r="D5" i="23"/>
  <c r="E5" i="23"/>
  <c r="C6" i="23"/>
  <c r="D6" i="23"/>
  <c r="E6" i="23"/>
  <c r="C7" i="23"/>
  <c r="D7" i="23"/>
  <c r="E7" i="23"/>
  <c r="C8" i="23"/>
  <c r="D8" i="23"/>
  <c r="E8" i="23"/>
  <c r="C9" i="23"/>
  <c r="D9" i="23"/>
  <c r="E9" i="23"/>
  <c r="C10" i="23"/>
  <c r="D10" i="23"/>
  <c r="E10" i="23"/>
  <c r="C11" i="23"/>
  <c r="D11" i="23"/>
  <c r="E11" i="23"/>
  <c r="C12" i="23"/>
  <c r="D12" i="23"/>
  <c r="E12" i="23"/>
  <c r="C13" i="23"/>
  <c r="D13" i="23"/>
  <c r="E13" i="23"/>
  <c r="C14" i="23"/>
  <c r="D14" i="23"/>
  <c r="E14" i="23"/>
  <c r="C15" i="23"/>
  <c r="D15" i="23"/>
  <c r="E15" i="23"/>
  <c r="C16" i="23"/>
  <c r="D16" i="23"/>
  <c r="E16" i="23"/>
  <c r="C17" i="23"/>
  <c r="D17" i="23"/>
  <c r="E17" i="23"/>
  <c r="C18" i="23"/>
  <c r="D18" i="23"/>
  <c r="E18" i="23"/>
  <c r="C19" i="23"/>
  <c r="D19" i="23"/>
  <c r="E19" i="23"/>
  <c r="C20" i="23"/>
  <c r="D20" i="23"/>
  <c r="E20" i="23"/>
  <c r="C21" i="23"/>
  <c r="D21" i="23"/>
  <c r="E21" i="23"/>
  <c r="C22" i="23"/>
  <c r="D22" i="23"/>
  <c r="E22" i="23"/>
  <c r="B22" i="23"/>
  <c r="B21" i="23"/>
  <c r="B20" i="23"/>
  <c r="B19" i="23"/>
  <c r="B18" i="23"/>
  <c r="B17" i="23"/>
  <c r="B16" i="23"/>
  <c r="B15" i="23"/>
  <c r="B14" i="23"/>
  <c r="B13" i="23"/>
  <c r="B12" i="23"/>
  <c r="B11" i="23"/>
  <c r="B10" i="23"/>
  <c r="B9" i="23"/>
  <c r="B8" i="23"/>
  <c r="B7" i="23"/>
  <c r="B6" i="23"/>
  <c r="B5" i="23"/>
  <c r="B4" i="23"/>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F27" i="23" s="1"/>
  <c r="G27" i="23" s="1"/>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F23" i="23" s="1"/>
  <c r="G23" i="23"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F29" i="23" s="1"/>
  <c r="G29" i="23" s="1"/>
  <c r="E20" i="29"/>
  <c r="H22" i="29" s="1"/>
  <c r="H23" i="29" s="1"/>
  <c r="E3" i="26"/>
  <c r="F25" i="23" s="1"/>
  <c r="G25" i="23" s="1"/>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F26" i="23" s="1"/>
  <c r="G26" i="23" s="1"/>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F14" i="23" s="1"/>
  <c r="G14" i="23" s="1"/>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F20" i="23" s="1"/>
  <c r="G20" i="23" s="1"/>
  <c r="E3" i="16"/>
  <c r="F16" i="23" s="1"/>
  <c r="G16" i="23" s="1"/>
  <c r="H22" i="12"/>
  <c r="H23" i="12" s="1"/>
  <c r="E3" i="12"/>
  <c r="F12" i="23" s="1"/>
  <c r="G12" i="23" s="1"/>
  <c r="E3" i="8"/>
  <c r="F8" i="23" s="1"/>
  <c r="G8" i="23" s="1"/>
  <c r="E3" i="6"/>
  <c r="F6" i="23" s="1"/>
  <c r="G6" i="23" s="1"/>
  <c r="E20" i="5"/>
  <c r="E3" i="5" s="1"/>
  <c r="F5" i="23" s="1"/>
  <c r="G5" i="23" s="1"/>
  <c r="H22" i="30"/>
  <c r="H23" i="30" s="1"/>
  <c r="E3" i="29"/>
  <c r="F28" i="23" s="1"/>
  <c r="G28" i="23" s="1"/>
  <c r="E3" i="25"/>
  <c r="F24" i="23" s="1"/>
  <c r="G24" i="23" s="1"/>
  <c r="E3" i="22"/>
  <c r="F22" i="23" s="1"/>
  <c r="G22" i="23" s="1"/>
  <c r="E20" i="21"/>
  <c r="H22" i="21" s="1"/>
  <c r="H23" i="21" s="1"/>
  <c r="E20" i="19"/>
  <c r="H22" i="19" s="1"/>
  <c r="H23" i="19" s="1"/>
  <c r="E3" i="18"/>
  <c r="F18" i="23" s="1"/>
  <c r="G18" i="23" s="1"/>
  <c r="E20" i="15"/>
  <c r="H22" i="15" s="1"/>
  <c r="H23" i="15" s="1"/>
  <c r="E20" i="13"/>
  <c r="E3" i="13" s="1"/>
  <c r="F13" i="23" s="1"/>
  <c r="G13" i="23" s="1"/>
  <c r="E20" i="11"/>
  <c r="H22" i="11" s="1"/>
  <c r="H23" i="11" s="1"/>
  <c r="E20" i="10"/>
  <c r="H22" i="10" s="1"/>
  <c r="H23" i="10" s="1"/>
  <c r="E3" i="9"/>
  <c r="F9" i="23" s="1"/>
  <c r="G9" i="23" s="1"/>
  <c r="E20" i="7"/>
  <c r="E20" i="4"/>
  <c r="E3" i="4" s="1"/>
  <c r="F4" i="23" s="1"/>
  <c r="G4" i="23" s="1"/>
  <c r="E20" i="17"/>
  <c r="E20" i="1"/>
  <c r="E3" i="21" l="1"/>
  <c r="F21" i="23" s="1"/>
  <c r="G21" i="23" s="1"/>
  <c r="E3" i="19"/>
  <c r="F19" i="23" s="1"/>
  <c r="G19" i="23" s="1"/>
  <c r="E3" i="15"/>
  <c r="F15" i="23" s="1"/>
  <c r="G15" i="23" s="1"/>
  <c r="H22" i="13"/>
  <c r="H23" i="13" s="1"/>
  <c r="E3" i="10"/>
  <c r="F10" i="23" s="1"/>
  <c r="G10" i="23" s="1"/>
  <c r="H22" i="5"/>
  <c r="H23" i="5" s="1"/>
  <c r="H22" i="4"/>
  <c r="H23" i="4" s="1"/>
  <c r="E3" i="11"/>
  <c r="F11" i="23" s="1"/>
  <c r="G11" i="23" s="1"/>
  <c r="F37" i="23" s="1"/>
  <c r="H22" i="7"/>
  <c r="H23" i="7" s="1"/>
  <c r="E3" i="7"/>
  <c r="F7" i="23" s="1"/>
  <c r="G7" i="23" s="1"/>
  <c r="H22" i="17"/>
  <c r="H23" i="17" s="1"/>
  <c r="E3" i="17"/>
  <c r="F17" i="23" s="1"/>
  <c r="G17" i="23" s="1"/>
  <c r="E3" i="1"/>
  <c r="F3" i="23" s="1"/>
  <c r="G3" i="23" s="1"/>
  <c r="H22" i="1"/>
  <c r="H23" i="1" s="1"/>
  <c r="F36" i="23" l="1"/>
  <c r="F32" i="23"/>
</calcChain>
</file>

<file path=xl/sharedStrings.xml><?xml version="1.0" encoding="utf-8"?>
<sst xmlns="http://schemas.openxmlformats.org/spreadsheetml/2006/main" count="996" uniqueCount="214">
  <si>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</si>
  <si>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</si>
  <si>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</si>
  <si>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</si>
  <si>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</si>
  <si>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</si>
  <si>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</si>
  <si>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</si>
  <si>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</si>
  <si>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</si>
  <si>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</si>
  <si>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</si>
  <si>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</si>
  <si>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</si>
  <si>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</si>
  <si>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</si>
  <si>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</si>
  <si>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</si>
  <si>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</si>
  <si>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</si>
  <si>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</si>
  <si>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</si>
  <si>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</si>
  <si>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</si>
  <si>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</si>
  <si>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</si>
  <si>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</si>
  <si>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</si>
  <si>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</si>
  <si>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</si>
  <si>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</si>
  <si>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lote</t>
  </si>
  <si>
    <t>qtde lotes</t>
  </si>
  <si>
    <t>total estimado</t>
  </si>
  <si>
    <t>Câmeras fotográficas DSLR; sensor CMOS full frame (36x24mm); resolução efetiva de 30.4 megapixels; processador DIGIC 6+; dual pixel raw; autofoco com 61 pontos selecionáveis; montagem de lente tipo EF; gravação de vídeos em 4K; tela LCD de 3,2" sensível ao toque, cabo de carregamento.</t>
  </si>
  <si>
    <t>Tripé Para Câmera Profissional: Tripé Material: Alumínio , Altura Máxima: 1,80m, Peso: 1,3Kg, Tipo Cabeça: Giratória 360º , Capacidade Cabeça: 15 Kg, Aplicação: Câmera Fotográfica ou Filmadora , Quantidade Hastes: 3, Altura Mínima: 83cm</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</si>
  <si>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</si>
  <si>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</si>
  <si>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</si>
  <si>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</si>
  <si>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</si>
  <si>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</si>
  <si>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</si>
  <si>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</si>
  <si>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</si>
  <si>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</si>
  <si>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</si>
  <si>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</si>
  <si>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</si>
  <si>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</si>
  <si>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</si>
  <si>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</si>
  <si>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</si>
  <si>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</si>
  <si>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</si>
  <si>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</si>
  <si>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</si>
  <si>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</si>
  <si>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</si>
  <si>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</si>
  <si>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</si>
  <si>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</si>
  <si>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</si>
  <si>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DENISE SILVESTRE DE OLIVEIRA</t>
  </si>
  <si>
    <t>S S PRO LTDA</t>
  </si>
  <si>
    <t>EMGESA EMPRESA DE GERENCIAMENTO DE SOBRESSALENTES E AUTOMACAO LTDA</t>
  </si>
  <si>
    <t>PUBLIC SHOP ELETRO ELETRONICOS LTDA</t>
  </si>
  <si>
    <t>D P I COMERCIO DE ELETRO ELETRONICOS LTDA</t>
  </si>
  <si>
    <t>MEP COMERCIO DE ELETRONICOS E SERVICOS LTDA</t>
  </si>
  <si>
    <t>P. C. DE ANDRADE LTDA</t>
  </si>
  <si>
    <t>49.264.057 THARLEY DIEGO ALVES SALES</t>
  </si>
  <si>
    <t>R &amp; R EQUIPAMENTOS ELETRONICOS LTDA</t>
  </si>
  <si>
    <t>PEDRO DIAS FERREIRA JUNIOR</t>
  </si>
  <si>
    <t>AUGUSTO &amp; COIMBRA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</si>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</sst>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2">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horizontal="center"/>
    </xf>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2" fillId="0" borderId="0" xfId="0" applyFont="1" applyAlignment="1">
      <alignment horizontal="right"/>
    </xf>
    <xf numFmtId="0" fontId="8" fillId="2" borderId="2" xfId="0" applyFont="1" applyFill="1" applyBorder="1" applyAlignment="1">
      <alignment horizontal="right"/>
    </xf>
    <xf numFmtId="0" fontId="8" fillId="2" borderId="3" xfId="0" applyFont="1" applyFill="1" applyBorder="1" applyAlignment="1">
      <alignment horizontal="center"/>
    </xf>
    <xf numFmtId="44" fontId="8" fillId="2" borderId="1" xfId="1" applyFont="1" applyFill="1" applyBorder="1" applyAlignment="1">
      <alignment horizontal="center"/>
    </xf>
    <xf numFmtId="0" fontId="8" fillId="2" borderId="1" xfId="0" applyFont="1" applyFill="1" applyBorder="1" applyAlignment="1">
      <alignment horizontal="right"/>
    </xf>
    <xf numFmtId="0" fontId="8" fillId="2" borderId="4" xfId="0" applyFont="1" applyFill="1" applyBorder="1"/>
    <xf numFmtId="0" fontId="8" fillId="2" borderId="5" xfId="0" applyFont="1" applyFill="1" applyBorder="1" applyAlignment="1">
      <alignment horizontal="right"/>
    </xf>
    <xf numFmtId="44" fontId="8" fillId="2" borderId="6"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7"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7" t="s">
        <v>1</v>
      </c>
      <c r="B2" s="7" t="s">
        <v>2</v>
      </c>
      <c r="C2" s="7" t="s">
        <v>3</v>
      </c>
      <c r="D2" s="7" t="s">
        <v>4</v>
      </c>
      <c r="E2" s="7" t="s">
        <v>9</v>
      </c>
      <c r="F2" s="7" t="s">
        <v>10</v>
      </c>
      <c r="G2" s="7" t="s">
        <v>11</v>
      </c>
      <c r="H2" s="7" t="s">
        <v>12</v>
      </c>
      <c r="I2" s="7" t="s">
        <v>13</v>
      </c>
    </row>
    <row r="3" spans="1:9" x14ac:dyDescent="0.25">
      <c r="A3" s="40">
        <v>1</v>
      </c>
      <c r="B3" s="36" t="s">
        <v>34</v>
      </c>
      <c r="C3" s="38" t="s">
        <v>7</v>
      </c>
      <c r="D3" s="38">
        <v>2</v>
      </c>
      <c r="E3" s="39">
        <f>IF(C20&lt;=25%,D20,MIN(E20:F20))</f>
        <v>4600</v>
      </c>
      <c r="F3" s="39">
        <f>MIN(H3:H17)</f>
        <v>2900</v>
      </c>
      <c r="G3" s="6" t="s">
        <v>62</v>
      </c>
      <c r="H3" s="17">
        <v>4300</v>
      </c>
      <c r="I3" s="18">
        <f>IF(H3="","",(IF($C$20&lt;25%,"n/a",IF(H3&lt;=($D$20+$A$20),H3,"Descartado"))))</f>
        <v>4300</v>
      </c>
    </row>
    <row r="4" spans="1:9" x14ac:dyDescent="0.25">
      <c r="A4" s="40"/>
      <c r="B4" s="37"/>
      <c r="C4" s="38"/>
      <c r="D4" s="38"/>
      <c r="E4" s="39"/>
      <c r="F4" s="39"/>
      <c r="G4" s="6" t="s">
        <v>63</v>
      </c>
      <c r="H4" s="17">
        <v>4250</v>
      </c>
      <c r="I4" s="18">
        <f t="shared" ref="I4:I17" si="0">IF(H4="","",(IF($C$20&lt;25%,"n/a",IF(H4&lt;=($D$20+$A$20),H4,"Descartado"))))</f>
        <v>4250</v>
      </c>
    </row>
    <row r="5" spans="1:9" x14ac:dyDescent="0.25">
      <c r="A5" s="40"/>
      <c r="B5" s="37"/>
      <c r="C5" s="38"/>
      <c r="D5" s="38"/>
      <c r="E5" s="39"/>
      <c r="F5" s="39"/>
      <c r="G5" s="6" t="s">
        <v>64</v>
      </c>
      <c r="H5" s="17">
        <v>4600</v>
      </c>
      <c r="I5" s="18">
        <f t="shared" si="0"/>
        <v>4600</v>
      </c>
    </row>
    <row r="6" spans="1:9" x14ac:dyDescent="0.25">
      <c r="A6" s="40"/>
      <c r="B6" s="37"/>
      <c r="C6" s="38"/>
      <c r="D6" s="38"/>
      <c r="E6" s="39"/>
      <c r="F6" s="39"/>
      <c r="G6" s="6" t="s">
        <v>65</v>
      </c>
      <c r="H6" s="17">
        <v>2900</v>
      </c>
      <c r="I6" s="18">
        <f t="shared" si="0"/>
        <v>2900</v>
      </c>
    </row>
    <row r="7" spans="1:9" x14ac:dyDescent="0.25">
      <c r="A7" s="40"/>
      <c r="B7" s="37"/>
      <c r="C7" s="38"/>
      <c r="D7" s="38"/>
      <c r="E7" s="39"/>
      <c r="F7" s="39"/>
      <c r="G7" s="6" t="s">
        <v>66</v>
      </c>
      <c r="H7" s="17">
        <v>3432.39</v>
      </c>
      <c r="I7" s="18">
        <f t="shared" si="0"/>
        <v>3432.39</v>
      </c>
    </row>
    <row r="8" spans="1:9" x14ac:dyDescent="0.25">
      <c r="A8" s="40"/>
      <c r="B8" s="37"/>
      <c r="C8" s="38"/>
      <c r="D8" s="38"/>
      <c r="E8" s="39"/>
      <c r="F8" s="39"/>
      <c r="G8" s="6" t="s">
        <v>67</v>
      </c>
      <c r="H8" s="17">
        <v>4943.8599999999997</v>
      </c>
      <c r="I8" s="18">
        <f t="shared" si="0"/>
        <v>4943.8599999999997</v>
      </c>
    </row>
    <row r="9" spans="1:9" x14ac:dyDescent="0.25">
      <c r="A9" s="40"/>
      <c r="B9" s="37"/>
      <c r="C9" s="38"/>
      <c r="D9" s="38"/>
      <c r="E9" s="39"/>
      <c r="F9" s="39"/>
      <c r="G9" s="6" t="s">
        <v>68</v>
      </c>
      <c r="H9" s="17">
        <v>41155.800000000003</v>
      </c>
      <c r="I9" s="18" t="str">
        <f t="shared" si="0"/>
        <v>Descartado</v>
      </c>
    </row>
    <row r="10" spans="1:9" x14ac:dyDescent="0.25">
      <c r="A10" s="40"/>
      <c r="B10" s="37"/>
      <c r="C10" s="38"/>
      <c r="D10" s="38"/>
      <c r="E10" s="39"/>
      <c r="F10" s="39"/>
      <c r="G10" s="6" t="s">
        <v>176</v>
      </c>
      <c r="H10" s="17">
        <v>15500</v>
      </c>
      <c r="I10" s="18">
        <f t="shared" si="0"/>
        <v>15500</v>
      </c>
    </row>
    <row r="11" spans="1:9" x14ac:dyDescent="0.25">
      <c r="A11" s="40"/>
      <c r="B11" s="37"/>
      <c r="C11" s="38"/>
      <c r="D11" s="38"/>
      <c r="E11" s="39"/>
      <c r="F11" s="39"/>
      <c r="G11" s="6" t="s">
        <v>177</v>
      </c>
      <c r="H11" s="17">
        <v>16998</v>
      </c>
      <c r="I11" s="18">
        <f t="shared" si="0"/>
        <v>16998</v>
      </c>
    </row>
    <row r="12" spans="1:9" x14ac:dyDescent="0.25">
      <c r="A12" s="40"/>
      <c r="B12" s="37"/>
      <c r="C12" s="38"/>
      <c r="D12" s="38"/>
      <c r="E12" s="39"/>
      <c r="F12" s="39"/>
      <c r="G12" s="6"/>
      <c r="H12" s="17"/>
      <c r="I12" s="18" t="str">
        <f t="shared" si="0"/>
        <v/>
      </c>
    </row>
    <row r="13" spans="1:9" x14ac:dyDescent="0.25">
      <c r="A13" s="40"/>
      <c r="B13" s="37"/>
      <c r="C13" s="38"/>
      <c r="D13" s="38"/>
      <c r="E13" s="39"/>
      <c r="F13" s="39"/>
      <c r="G13" s="6"/>
      <c r="H13" s="17"/>
      <c r="I13" s="18" t="str">
        <f t="shared" si="0"/>
        <v/>
      </c>
    </row>
    <row r="14" spans="1:9" x14ac:dyDescent="0.25">
      <c r="A14" s="40"/>
      <c r="B14" s="37"/>
      <c r="C14" s="38"/>
      <c r="D14" s="38"/>
      <c r="E14" s="39"/>
      <c r="F14" s="39"/>
      <c r="G14" s="6"/>
      <c r="H14" s="17"/>
      <c r="I14" s="18" t="str">
        <f t="shared" si="0"/>
        <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7" t="s">
        <v>14</v>
      </c>
      <c r="B19" s="7" t="s">
        <v>15</v>
      </c>
      <c r="C19" s="7" t="s">
        <v>25</v>
      </c>
      <c r="D19" s="7" t="s">
        <v>16</v>
      </c>
      <c r="E19" s="7" t="s">
        <v>17</v>
      </c>
      <c r="F19" s="7" t="s">
        <v>18</v>
      </c>
      <c r="G19" s="34" t="s">
        <v>19</v>
      </c>
      <c r="H19" s="34"/>
    </row>
    <row r="20" spans="1:9" x14ac:dyDescent="0.25">
      <c r="A20" s="9">
        <f>IF(B20&lt;2,"n/a",(_xlfn.STDEV.S(H3:H17)))</f>
        <v>12532.319698629221</v>
      </c>
      <c r="B20" s="9">
        <f>COUNT(H3:H17)</f>
        <v>9</v>
      </c>
      <c r="C20" s="10">
        <f>IF(B20&lt;2,"n/a",(A20/D20))</f>
        <v>1.1499883185960094</v>
      </c>
      <c r="D20" s="11">
        <f>IFERROR(ROUND(AVERAGE(H3:H17),2),"")</f>
        <v>10897.78</v>
      </c>
      <c r="E20" s="16">
        <f>IFERROR(ROUND(IF(B20&lt;2,"n/a",(IF(C20&lt;=25%,"n/a",AVERAGE(I3:I17)))),2),"n/a")</f>
        <v>7115.53</v>
      </c>
      <c r="F20" s="11">
        <f>IFERROR(ROUND(MEDIAN(H3:H17),2),"")</f>
        <v>4600</v>
      </c>
      <c r="G20" s="12" t="str">
        <f>IFERROR(INDEX(G3:G17,MATCH(H20,H3:H17,0)),"")</f>
        <v>EMGESA EMPRESA DE GERENCIAMENTO DE SOBRESSALENTES E AUTOMACAO LTDA</v>
      </c>
      <c r="H20" s="13">
        <f>F3</f>
        <v>2900</v>
      </c>
    </row>
    <row r="22" spans="1:9" x14ac:dyDescent="0.25">
      <c r="G22" s="14" t="s">
        <v>20</v>
      </c>
      <c r="H22" s="15">
        <f>IF(C20&lt;=25%,D20,MIN(E20:F20))</f>
        <v>4600</v>
      </c>
    </row>
    <row r="23" spans="1:9" x14ac:dyDescent="0.25">
      <c r="G23" s="14" t="s">
        <v>6</v>
      </c>
      <c r="H23" s="15">
        <f>ROUND(H22,2)*D3</f>
        <v>9200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4" sqref="G1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7" t="s">
        <v>1</v>
      </c>
      <c r="B2" s="7" t="s">
        <v>2</v>
      </c>
      <c r="C2" s="7" t="s">
        <v>3</v>
      </c>
      <c r="D2" s="7" t="s">
        <v>4</v>
      </c>
      <c r="E2" s="7" t="s">
        <v>9</v>
      </c>
      <c r="F2" s="7" t="s">
        <v>10</v>
      </c>
      <c r="G2" s="7" t="s">
        <v>11</v>
      </c>
      <c r="H2" s="7" t="s">
        <v>12</v>
      </c>
      <c r="I2" s="7" t="s">
        <v>13</v>
      </c>
    </row>
    <row r="3" spans="1:9" x14ac:dyDescent="0.25">
      <c r="A3" s="40">
        <v>10</v>
      </c>
      <c r="B3" s="36" t="s">
        <v>43</v>
      </c>
      <c r="C3" s="38" t="s">
        <v>7</v>
      </c>
      <c r="D3" s="38">
        <v>4</v>
      </c>
      <c r="E3" s="39">
        <f>IF(C20&lt;=25%,D20,MIN(E20:F20))</f>
        <v>96.78</v>
      </c>
      <c r="F3" s="39">
        <f>MIN(H3:H17)</f>
        <v>40</v>
      </c>
      <c r="G3" s="6" t="s">
        <v>111</v>
      </c>
      <c r="H3" s="17">
        <v>98</v>
      </c>
      <c r="I3" s="18">
        <f>IF(H3="","",(IF($C$20&lt;25%,"n/a",IF(H3&lt;=($D$20+$A$20),H3,"Descartado"))))</f>
        <v>98</v>
      </c>
    </row>
    <row r="4" spans="1:9" x14ac:dyDescent="0.25">
      <c r="A4" s="40"/>
      <c r="B4" s="37"/>
      <c r="C4" s="38"/>
      <c r="D4" s="38"/>
      <c r="E4" s="39"/>
      <c r="F4" s="39"/>
      <c r="G4" s="6" t="s">
        <v>112</v>
      </c>
      <c r="H4" s="17">
        <v>134.55000000000001</v>
      </c>
      <c r="I4" s="18">
        <f t="shared" ref="I4:I17" si="0">IF(H4="","",(IF($C$20&lt;25%,"n/a",IF(H4&lt;=($D$20+$A$20),H4,"Descartado"))))</f>
        <v>134.55000000000001</v>
      </c>
    </row>
    <row r="5" spans="1:9" x14ac:dyDescent="0.25">
      <c r="A5" s="40"/>
      <c r="B5" s="37"/>
      <c r="C5" s="38"/>
      <c r="D5" s="38"/>
      <c r="E5" s="39"/>
      <c r="F5" s="39"/>
      <c r="G5" s="6" t="s">
        <v>113</v>
      </c>
      <c r="H5" s="17">
        <v>59.77</v>
      </c>
      <c r="I5" s="18">
        <f t="shared" si="0"/>
        <v>59.77</v>
      </c>
    </row>
    <row r="6" spans="1:9" x14ac:dyDescent="0.25">
      <c r="A6" s="40"/>
      <c r="B6" s="37"/>
      <c r="C6" s="38"/>
      <c r="D6" s="38"/>
      <c r="E6" s="39"/>
      <c r="F6" s="39"/>
      <c r="G6" s="6" t="s">
        <v>114</v>
      </c>
      <c r="H6" s="17">
        <v>167</v>
      </c>
      <c r="I6" s="18">
        <f t="shared" si="0"/>
        <v>167</v>
      </c>
    </row>
    <row r="7" spans="1:9" x14ac:dyDescent="0.25">
      <c r="A7" s="40"/>
      <c r="B7" s="37"/>
      <c r="C7" s="38"/>
      <c r="D7" s="38"/>
      <c r="E7" s="39"/>
      <c r="F7" s="39"/>
      <c r="G7" s="6" t="s">
        <v>115</v>
      </c>
      <c r="H7" s="17">
        <v>60</v>
      </c>
      <c r="I7" s="18">
        <f t="shared" si="0"/>
        <v>60</v>
      </c>
    </row>
    <row r="8" spans="1:9" x14ac:dyDescent="0.25">
      <c r="A8" s="40"/>
      <c r="B8" s="37"/>
      <c r="C8" s="38"/>
      <c r="D8" s="38"/>
      <c r="E8" s="39"/>
      <c r="F8" s="39"/>
      <c r="G8" s="6" t="s">
        <v>116</v>
      </c>
      <c r="H8" s="17">
        <v>50</v>
      </c>
      <c r="I8" s="18">
        <f t="shared" si="0"/>
        <v>50</v>
      </c>
    </row>
    <row r="9" spans="1:9" x14ac:dyDescent="0.25">
      <c r="A9" s="40"/>
      <c r="B9" s="37"/>
      <c r="C9" s="38"/>
      <c r="D9" s="38"/>
      <c r="E9" s="39"/>
      <c r="F9" s="39"/>
      <c r="G9" s="6" t="s">
        <v>117</v>
      </c>
      <c r="H9" s="17">
        <v>40</v>
      </c>
      <c r="I9" s="18">
        <f t="shared" si="0"/>
        <v>40</v>
      </c>
    </row>
    <row r="10" spans="1:9" x14ac:dyDescent="0.25">
      <c r="A10" s="40"/>
      <c r="B10" s="37"/>
      <c r="C10" s="38"/>
      <c r="D10" s="38"/>
      <c r="E10" s="39"/>
      <c r="F10" s="39"/>
      <c r="G10" s="6" t="s">
        <v>118</v>
      </c>
      <c r="H10" s="17">
        <v>198.99</v>
      </c>
      <c r="I10" s="18" t="str">
        <f t="shared" si="0"/>
        <v>Descartado</v>
      </c>
    </row>
    <row r="11" spans="1:9" x14ac:dyDescent="0.25">
      <c r="A11" s="40"/>
      <c r="B11" s="37"/>
      <c r="C11" s="38"/>
      <c r="D11" s="38"/>
      <c r="E11" s="39"/>
      <c r="F11" s="39"/>
      <c r="G11" s="6" t="s">
        <v>119</v>
      </c>
      <c r="H11" s="17">
        <v>200</v>
      </c>
      <c r="I11" s="18" t="str">
        <f t="shared" si="0"/>
        <v>Descartado</v>
      </c>
    </row>
    <row r="12" spans="1:9" x14ac:dyDescent="0.25">
      <c r="A12" s="40"/>
      <c r="B12" s="37"/>
      <c r="C12" s="38"/>
      <c r="D12" s="38"/>
      <c r="E12" s="39"/>
      <c r="F12" s="39"/>
      <c r="G12" s="6" t="s">
        <v>184</v>
      </c>
      <c r="H12" s="17">
        <v>199</v>
      </c>
      <c r="I12" s="18" t="str">
        <f t="shared" si="0"/>
        <v>Descartado</v>
      </c>
    </row>
    <row r="13" spans="1:9" x14ac:dyDescent="0.25">
      <c r="A13" s="40"/>
      <c r="B13" s="37"/>
      <c r="C13" s="38"/>
      <c r="D13" s="38"/>
      <c r="E13" s="39"/>
      <c r="F13" s="39"/>
      <c r="G13" s="6" t="s">
        <v>185</v>
      </c>
      <c r="H13" s="17">
        <v>164.9</v>
      </c>
      <c r="I13" s="18">
        <f t="shared" si="0"/>
        <v>164.9</v>
      </c>
    </row>
    <row r="14" spans="1:9" x14ac:dyDescent="0.25">
      <c r="A14" s="40"/>
      <c r="B14" s="37"/>
      <c r="C14" s="38"/>
      <c r="D14" s="38"/>
      <c r="E14" s="39"/>
      <c r="F14" s="39"/>
      <c r="G14" s="6"/>
      <c r="H14" s="17"/>
      <c r="I14" s="18" t="str">
        <f t="shared" si="0"/>
        <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7" t="s">
        <v>14</v>
      </c>
      <c r="B19" s="7" t="s">
        <v>15</v>
      </c>
      <c r="C19" s="7" t="s">
        <v>25</v>
      </c>
      <c r="D19" s="7" t="s">
        <v>16</v>
      </c>
      <c r="E19" s="7" t="s">
        <v>17</v>
      </c>
      <c r="F19" s="7" t="s">
        <v>18</v>
      </c>
      <c r="G19" s="34" t="s">
        <v>19</v>
      </c>
      <c r="H19" s="34"/>
    </row>
    <row r="20" spans="1:9" x14ac:dyDescent="0.25">
      <c r="A20" s="9">
        <f>IF(B20&lt;2,"n/a",(_xlfn.STDEV.S(H3:H17)))</f>
        <v>64.869852670208417</v>
      </c>
      <c r="B20" s="9">
        <f>COUNT(H3:H17)</f>
        <v>11</v>
      </c>
      <c r="C20" s="10">
        <f>IF(B20&lt;2,"n/a",(A20/D20))</f>
        <v>0.51999881899966671</v>
      </c>
      <c r="D20" s="11">
        <f>IFERROR(ROUND(AVERAGE(H3:H17),2),"")</f>
        <v>124.75</v>
      </c>
      <c r="E20" s="16">
        <f>IFERROR(ROUND(IF(B20&lt;2,"n/a",(IF(C20&lt;=25%,"n/a",AVERAGE(I3:I17)))),2),"n/a")</f>
        <v>96.78</v>
      </c>
      <c r="F20" s="11">
        <f>IFERROR(ROUND(MEDIAN(H3:H17),2),"")</f>
        <v>134.55000000000001</v>
      </c>
      <c r="G20" s="12" t="str">
        <f>IFERROR(INDEX(G3:G17,MATCH(H20,H3:H17,0)),"")</f>
        <v>MGJ CONSULTORIA EM SEGURANCA E COMERCIO EXTERIOR LTDA</v>
      </c>
      <c r="H20" s="13">
        <f>F3</f>
        <v>40</v>
      </c>
    </row>
    <row r="22" spans="1:9" x14ac:dyDescent="0.25">
      <c r="G22" s="14" t="s">
        <v>20</v>
      </c>
      <c r="H22" s="15">
        <f>IF(C20&lt;=25%,D20,MIN(E20:F20))</f>
        <v>96.78</v>
      </c>
    </row>
    <row r="23" spans="1:9" x14ac:dyDescent="0.25">
      <c r="G23" s="14" t="s">
        <v>6</v>
      </c>
      <c r="H23" s="15">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5" sqref="G15"/>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7" t="s">
        <v>1</v>
      </c>
      <c r="B2" s="7" t="s">
        <v>2</v>
      </c>
      <c r="C2" s="7" t="s">
        <v>3</v>
      </c>
      <c r="D2" s="7" t="s">
        <v>4</v>
      </c>
      <c r="E2" s="7" t="s">
        <v>9</v>
      </c>
      <c r="F2" s="7" t="s">
        <v>10</v>
      </c>
      <c r="G2" s="7" t="s">
        <v>11</v>
      </c>
      <c r="H2" s="7" t="s">
        <v>12</v>
      </c>
      <c r="I2" s="7" t="s">
        <v>13</v>
      </c>
    </row>
    <row r="3" spans="1:9" x14ac:dyDescent="0.25">
      <c r="A3" s="40">
        <v>11</v>
      </c>
      <c r="B3" s="36" t="s">
        <v>44</v>
      </c>
      <c r="C3" s="38" t="s">
        <v>7</v>
      </c>
      <c r="D3" s="38">
        <v>2</v>
      </c>
      <c r="E3" s="39">
        <f>IF(C20&lt;=25%,D20,MIN(E20:F20))</f>
        <v>317.42</v>
      </c>
      <c r="F3" s="39">
        <f>MIN(H3:H17)</f>
        <v>143.76</v>
      </c>
      <c r="G3" s="6" t="s">
        <v>74</v>
      </c>
      <c r="H3" s="17">
        <v>308.31</v>
      </c>
      <c r="I3" s="18">
        <f>IF(H3="","",(IF($C$20&lt;25%,"n/a",IF(H3&lt;=($D$20+$A$20),H3,"Descartado"))))</f>
        <v>308.31</v>
      </c>
    </row>
    <row r="4" spans="1:9" x14ac:dyDescent="0.25">
      <c r="A4" s="40"/>
      <c r="B4" s="37"/>
      <c r="C4" s="38"/>
      <c r="D4" s="38"/>
      <c r="E4" s="39"/>
      <c r="F4" s="39"/>
      <c r="G4" s="6" t="s">
        <v>120</v>
      </c>
      <c r="H4" s="17">
        <v>283</v>
      </c>
      <c r="I4" s="18">
        <f t="shared" ref="I4:I17" si="0">IF(H4="","",(IF($C$20&lt;25%,"n/a",IF(H4&lt;=($D$20+$A$20),H4,"Descartado"))))</f>
        <v>283</v>
      </c>
    </row>
    <row r="5" spans="1:9" x14ac:dyDescent="0.25">
      <c r="A5" s="40"/>
      <c r="B5" s="37"/>
      <c r="C5" s="38"/>
      <c r="D5" s="38"/>
      <c r="E5" s="39"/>
      <c r="F5" s="39"/>
      <c r="G5" s="6" t="s">
        <v>121</v>
      </c>
      <c r="H5" s="17">
        <v>896</v>
      </c>
      <c r="I5" s="18" t="str">
        <f t="shared" si="0"/>
        <v>Descartado</v>
      </c>
    </row>
    <row r="6" spans="1:9" x14ac:dyDescent="0.25">
      <c r="A6" s="40"/>
      <c r="B6" s="37"/>
      <c r="C6" s="38"/>
      <c r="D6" s="38"/>
      <c r="E6" s="39"/>
      <c r="F6" s="39"/>
      <c r="G6" s="6" t="s">
        <v>75</v>
      </c>
      <c r="H6" s="17">
        <v>949</v>
      </c>
      <c r="I6" s="18" t="str">
        <f t="shared" si="0"/>
        <v>Descartado</v>
      </c>
    </row>
    <row r="7" spans="1:9" x14ac:dyDescent="0.25">
      <c r="A7" s="40"/>
      <c r="B7" s="37"/>
      <c r="C7" s="38"/>
      <c r="D7" s="38"/>
      <c r="E7" s="39"/>
      <c r="F7" s="39"/>
      <c r="G7" s="6" t="s">
        <v>122</v>
      </c>
      <c r="H7" s="17">
        <v>1100</v>
      </c>
      <c r="I7" s="18" t="str">
        <f t="shared" si="0"/>
        <v>Descartado</v>
      </c>
    </row>
    <row r="8" spans="1:9" x14ac:dyDescent="0.25">
      <c r="A8" s="40"/>
      <c r="B8" s="37"/>
      <c r="C8" s="38"/>
      <c r="D8" s="38"/>
      <c r="E8" s="39"/>
      <c r="F8" s="39"/>
      <c r="G8" s="6" t="s">
        <v>123</v>
      </c>
      <c r="H8" s="17">
        <v>412</v>
      </c>
      <c r="I8" s="18">
        <f t="shared" si="0"/>
        <v>412</v>
      </c>
    </row>
    <row r="9" spans="1:9" x14ac:dyDescent="0.25">
      <c r="A9" s="40"/>
      <c r="B9" s="37"/>
      <c r="C9" s="38"/>
      <c r="D9" s="38"/>
      <c r="E9" s="39"/>
      <c r="F9" s="39"/>
      <c r="G9" s="6" t="s">
        <v>124</v>
      </c>
      <c r="H9" s="17">
        <v>328.87</v>
      </c>
      <c r="I9" s="18">
        <f t="shared" si="0"/>
        <v>328.87</v>
      </c>
    </row>
    <row r="10" spans="1:9" x14ac:dyDescent="0.25">
      <c r="A10" s="40"/>
      <c r="B10" s="37"/>
      <c r="C10" s="38"/>
      <c r="D10" s="38"/>
      <c r="E10" s="39"/>
      <c r="F10" s="39"/>
      <c r="G10" s="6" t="s">
        <v>125</v>
      </c>
      <c r="H10" s="17">
        <v>250</v>
      </c>
      <c r="I10" s="18">
        <f t="shared" si="0"/>
        <v>250</v>
      </c>
    </row>
    <row r="11" spans="1:9" x14ac:dyDescent="0.25">
      <c r="A11" s="40"/>
      <c r="B11" s="37"/>
      <c r="C11" s="38"/>
      <c r="D11" s="38"/>
      <c r="E11" s="39"/>
      <c r="F11" s="39"/>
      <c r="G11" s="6" t="s">
        <v>126</v>
      </c>
      <c r="H11" s="17">
        <v>143.76</v>
      </c>
      <c r="I11" s="18">
        <f t="shared" si="0"/>
        <v>143.76</v>
      </c>
    </row>
    <row r="12" spans="1:9" x14ac:dyDescent="0.25">
      <c r="A12" s="40"/>
      <c r="B12" s="37"/>
      <c r="C12" s="38"/>
      <c r="D12" s="38"/>
      <c r="E12" s="39"/>
      <c r="F12" s="39"/>
      <c r="G12" s="6" t="s">
        <v>105</v>
      </c>
      <c r="H12" s="17">
        <v>583.65</v>
      </c>
      <c r="I12" s="18">
        <f t="shared" si="0"/>
        <v>583.65</v>
      </c>
    </row>
    <row r="13" spans="1:9" x14ac:dyDescent="0.25">
      <c r="A13" s="40"/>
      <c r="B13" s="37"/>
      <c r="C13" s="38"/>
      <c r="D13" s="38"/>
      <c r="E13" s="39"/>
      <c r="F13" s="39"/>
      <c r="G13" s="6" t="s">
        <v>127</v>
      </c>
      <c r="H13" s="17">
        <v>376.2</v>
      </c>
      <c r="I13" s="18">
        <f t="shared" si="0"/>
        <v>376.2</v>
      </c>
    </row>
    <row r="14" spans="1:9" x14ac:dyDescent="0.25">
      <c r="A14" s="40"/>
      <c r="B14" s="37"/>
      <c r="C14" s="38"/>
      <c r="D14" s="38"/>
      <c r="E14" s="39"/>
      <c r="F14" s="39"/>
      <c r="G14" s="6" t="s">
        <v>178</v>
      </c>
      <c r="H14" s="17">
        <v>171.03</v>
      </c>
      <c r="I14" s="18">
        <f t="shared" si="0"/>
        <v>171.03</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7" t="s">
        <v>14</v>
      </c>
      <c r="B19" s="7" t="s">
        <v>15</v>
      </c>
      <c r="C19" s="7" t="s">
        <v>25</v>
      </c>
      <c r="D19" s="7" t="s">
        <v>16</v>
      </c>
      <c r="E19" s="7" t="s">
        <v>17</v>
      </c>
      <c r="F19" s="7" t="s">
        <v>18</v>
      </c>
      <c r="G19" s="34" t="s">
        <v>19</v>
      </c>
      <c r="H19" s="34"/>
    </row>
    <row r="20" spans="1:9" x14ac:dyDescent="0.25">
      <c r="A20" s="9">
        <f>IF(B20&lt;2,"n/a",(_xlfn.STDEV.S(H3:H17)))</f>
        <v>324.171608775913</v>
      </c>
      <c r="B20" s="9">
        <f>COUNT(H3:H17)</f>
        <v>12</v>
      </c>
      <c r="C20" s="10">
        <f>IF(B20&lt;2,"n/a",(A20/D20))</f>
        <v>0.67048255139902169</v>
      </c>
      <c r="D20" s="11">
        <f>IFERROR(ROUND(AVERAGE(H3:H17),2),"")</f>
        <v>483.49</v>
      </c>
      <c r="E20" s="16">
        <f>IFERROR(ROUND(IF(B20&lt;2,"n/a",(IF(C20&lt;=25%,"n/a",AVERAGE(I3:I17)))),2),"n/a")</f>
        <v>317.42</v>
      </c>
      <c r="F20" s="11">
        <f>IFERROR(ROUND(MEDIAN(H3:H17),2),"")</f>
        <v>352.54</v>
      </c>
      <c r="G20" s="12" t="str">
        <f>IFERROR(INDEX(G3:G17,MATCH(H20,H3:H17,0)),"")</f>
        <v>SMART SOLUTIONS - SOLUCOES INTELIGENTES EM COMERCIO E SERVICOS LTDA</v>
      </c>
      <c r="H20" s="13">
        <f>F3</f>
        <v>143.76</v>
      </c>
    </row>
    <row r="22" spans="1:9" x14ac:dyDescent="0.25">
      <c r="G22" s="14" t="s">
        <v>20</v>
      </c>
      <c r="H22" s="15">
        <f>IF(C20&lt;=25%,D20,MIN(E20:F20))</f>
        <v>317.42</v>
      </c>
    </row>
    <row r="23" spans="1:9" x14ac:dyDescent="0.25">
      <c r="G23" s="14" t="s">
        <v>6</v>
      </c>
      <c r="H23" s="15">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3" sqref="G13"/>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7" t="s">
        <v>1</v>
      </c>
      <c r="B2" s="7" t="s">
        <v>2</v>
      </c>
      <c r="C2" s="7" t="s">
        <v>3</v>
      </c>
      <c r="D2" s="7" t="s">
        <v>4</v>
      </c>
      <c r="E2" s="7" t="s">
        <v>9</v>
      </c>
      <c r="F2" s="7" t="s">
        <v>10</v>
      </c>
      <c r="G2" s="7" t="s">
        <v>11</v>
      </c>
      <c r="H2" s="7" t="s">
        <v>12</v>
      </c>
      <c r="I2" s="7" t="s">
        <v>13</v>
      </c>
    </row>
    <row r="3" spans="1:9" x14ac:dyDescent="0.25">
      <c r="A3" s="40">
        <v>12</v>
      </c>
      <c r="B3" s="36" t="s">
        <v>45</v>
      </c>
      <c r="C3" s="38" t="s">
        <v>7</v>
      </c>
      <c r="D3" s="38">
        <v>1</v>
      </c>
      <c r="E3" s="39">
        <f>IF(C20&lt;=25%,D20,MIN(E20:F20))</f>
        <v>808.95</v>
      </c>
      <c r="F3" s="39">
        <f>MIN(H3:H17)</f>
        <v>289.89999999999998</v>
      </c>
      <c r="G3" s="6" t="s">
        <v>107</v>
      </c>
      <c r="H3" s="17">
        <v>761.9</v>
      </c>
      <c r="I3" s="18">
        <f>IF(H3="","",(IF($C$20&lt;25%,"n/a",IF(H3&lt;=($D$20+$A$20),H3,"Descartado"))))</f>
        <v>761.9</v>
      </c>
    </row>
    <row r="4" spans="1:9" x14ac:dyDescent="0.25">
      <c r="A4" s="40"/>
      <c r="B4" s="37"/>
      <c r="C4" s="38"/>
      <c r="D4" s="38"/>
      <c r="E4" s="39"/>
      <c r="F4" s="39"/>
      <c r="G4" s="6" t="s">
        <v>128</v>
      </c>
      <c r="H4" s="17">
        <v>748</v>
      </c>
      <c r="I4" s="18">
        <f t="shared" ref="I4:I17" si="0">IF(H4="","",(IF($C$20&lt;25%,"n/a",IF(H4&lt;=($D$20+$A$20),H4,"Descartado"))))</f>
        <v>748</v>
      </c>
    </row>
    <row r="5" spans="1:9" x14ac:dyDescent="0.25">
      <c r="A5" s="40"/>
      <c r="B5" s="37"/>
      <c r="C5" s="38"/>
      <c r="D5" s="38"/>
      <c r="E5" s="39"/>
      <c r="F5" s="39"/>
      <c r="G5" s="6" t="s">
        <v>114</v>
      </c>
      <c r="H5" s="17">
        <v>1880</v>
      </c>
      <c r="I5" s="18" t="str">
        <f t="shared" si="0"/>
        <v>Descartado</v>
      </c>
    </row>
    <row r="6" spans="1:9" x14ac:dyDescent="0.25">
      <c r="A6" s="40"/>
      <c r="B6" s="37"/>
      <c r="C6" s="38"/>
      <c r="D6" s="38"/>
      <c r="E6" s="39"/>
      <c r="F6" s="39"/>
      <c r="G6" s="6" t="s">
        <v>129</v>
      </c>
      <c r="H6" s="17">
        <v>1084.05</v>
      </c>
      <c r="I6" s="18">
        <f t="shared" si="0"/>
        <v>1084.05</v>
      </c>
    </row>
    <row r="7" spans="1:9" x14ac:dyDescent="0.25">
      <c r="A7" s="40"/>
      <c r="B7" s="37"/>
      <c r="C7" s="38"/>
      <c r="D7" s="38"/>
      <c r="E7" s="39"/>
      <c r="F7" s="39"/>
      <c r="G7" s="6" t="s">
        <v>130</v>
      </c>
      <c r="H7" s="17">
        <v>1178</v>
      </c>
      <c r="I7" s="18">
        <f t="shared" si="0"/>
        <v>1178</v>
      </c>
    </row>
    <row r="8" spans="1:9" x14ac:dyDescent="0.25">
      <c r="A8" s="40"/>
      <c r="B8" s="37"/>
      <c r="C8" s="38"/>
      <c r="D8" s="38"/>
      <c r="E8" s="39"/>
      <c r="F8" s="39"/>
      <c r="G8" s="6" t="s">
        <v>131</v>
      </c>
      <c r="H8" s="17">
        <v>1500</v>
      </c>
      <c r="I8" s="18" t="str">
        <f t="shared" si="0"/>
        <v>Descartado</v>
      </c>
    </row>
    <row r="9" spans="1:9" x14ac:dyDescent="0.25">
      <c r="A9" s="40"/>
      <c r="B9" s="37"/>
      <c r="C9" s="38"/>
      <c r="D9" s="38"/>
      <c r="E9" s="39"/>
      <c r="F9" s="39"/>
      <c r="G9" s="6" t="s">
        <v>132</v>
      </c>
      <c r="H9" s="17">
        <v>859</v>
      </c>
      <c r="I9" s="18">
        <f t="shared" si="0"/>
        <v>859</v>
      </c>
    </row>
    <row r="10" spans="1:9" x14ac:dyDescent="0.25">
      <c r="A10" s="40"/>
      <c r="B10" s="37"/>
      <c r="C10" s="38"/>
      <c r="D10" s="38"/>
      <c r="E10" s="39"/>
      <c r="F10" s="39"/>
      <c r="G10" s="6" t="s">
        <v>133</v>
      </c>
      <c r="H10" s="17">
        <v>673.78</v>
      </c>
      <c r="I10" s="18">
        <f t="shared" si="0"/>
        <v>673.78</v>
      </c>
    </row>
    <row r="11" spans="1:9" x14ac:dyDescent="0.25">
      <c r="A11" s="40"/>
      <c r="B11" s="37"/>
      <c r="C11" s="38"/>
      <c r="D11" s="38"/>
      <c r="E11" s="39"/>
      <c r="F11" s="39"/>
      <c r="G11" s="6" t="s">
        <v>186</v>
      </c>
      <c r="H11" s="17">
        <v>877</v>
      </c>
      <c r="I11" s="18">
        <f t="shared" si="0"/>
        <v>877</v>
      </c>
    </row>
    <row r="12" spans="1:9" x14ac:dyDescent="0.25">
      <c r="A12" s="40"/>
      <c r="B12" s="37"/>
      <c r="C12" s="38"/>
      <c r="D12" s="38"/>
      <c r="E12" s="39"/>
      <c r="F12" s="39"/>
      <c r="G12" s="6" t="s">
        <v>187</v>
      </c>
      <c r="H12" s="17">
        <v>289.89999999999998</v>
      </c>
      <c r="I12" s="18">
        <f t="shared" si="0"/>
        <v>289.89999999999998</v>
      </c>
    </row>
    <row r="13" spans="1:9" x14ac:dyDescent="0.25">
      <c r="A13" s="40"/>
      <c r="B13" s="37"/>
      <c r="C13" s="38"/>
      <c r="D13" s="38"/>
      <c r="E13" s="39"/>
      <c r="F13" s="39"/>
      <c r="G13" s="6"/>
      <c r="H13" s="17"/>
      <c r="I13" s="18" t="str">
        <f t="shared" si="0"/>
        <v/>
      </c>
    </row>
    <row r="14" spans="1:9" x14ac:dyDescent="0.25">
      <c r="A14" s="40"/>
      <c r="B14" s="37"/>
      <c r="C14" s="38"/>
      <c r="D14" s="38"/>
      <c r="E14" s="39"/>
      <c r="F14" s="39"/>
      <c r="G14" s="6"/>
      <c r="H14" s="17"/>
      <c r="I14" s="18" t="str">
        <f t="shared" si="0"/>
        <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7" t="s">
        <v>14</v>
      </c>
      <c r="B19" s="7" t="s">
        <v>15</v>
      </c>
      <c r="C19" s="7" t="s">
        <v>25</v>
      </c>
      <c r="D19" s="7" t="s">
        <v>16</v>
      </c>
      <c r="E19" s="7" t="s">
        <v>17</v>
      </c>
      <c r="F19" s="7" t="s">
        <v>18</v>
      </c>
      <c r="G19" s="34" t="s">
        <v>19</v>
      </c>
      <c r="H19" s="34"/>
    </row>
    <row r="20" spans="1:9" x14ac:dyDescent="0.25">
      <c r="A20" s="9">
        <f>IF(B20&lt;2,"n/a",(_xlfn.STDEV.S(H3:H17)))</f>
        <v>450.53229569896291</v>
      </c>
      <c r="B20" s="9">
        <f>COUNT(H3:H17)</f>
        <v>10</v>
      </c>
      <c r="C20" s="10">
        <f>IF(B20&lt;2,"n/a",(A20/D20))</f>
        <v>0.45731890829810684</v>
      </c>
      <c r="D20" s="11">
        <f>IFERROR(ROUND(AVERAGE(H3:H17),2),"")</f>
        <v>985.16</v>
      </c>
      <c r="E20" s="16">
        <f>IFERROR(ROUND(IF(B20&lt;2,"n/a",(IF(C20&lt;=25%,"n/a",AVERAGE(I3:I17)))),2),"n/a")</f>
        <v>808.95</v>
      </c>
      <c r="F20" s="11">
        <f>IFERROR(ROUND(MEDIAN(H3:H17),2),"")</f>
        <v>868</v>
      </c>
      <c r="G20" s="12" t="str">
        <f>IFERROR(INDEX(G3:G17,MATCH(H20,H3:H17,0)),"")</f>
        <v>KZ MUSIC STORE</v>
      </c>
      <c r="H20" s="13">
        <f>F3</f>
        <v>289.89999999999998</v>
      </c>
    </row>
    <row r="22" spans="1:9" x14ac:dyDescent="0.25">
      <c r="G22" s="14" t="s">
        <v>20</v>
      </c>
      <c r="H22" s="15">
        <f>IF(C20&lt;=25%,D20,MIN(E20:F20))</f>
        <v>808.95</v>
      </c>
    </row>
    <row r="23" spans="1:9" x14ac:dyDescent="0.25">
      <c r="G23" s="14" t="s">
        <v>6</v>
      </c>
      <c r="H23" s="15">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9" sqref="G9"/>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7" t="s">
        <v>1</v>
      </c>
      <c r="B2" s="7" t="s">
        <v>2</v>
      </c>
      <c r="C2" s="7" t="s">
        <v>3</v>
      </c>
      <c r="D2" s="7" t="s">
        <v>4</v>
      </c>
      <c r="E2" s="7" t="s">
        <v>9</v>
      </c>
      <c r="F2" s="7" t="s">
        <v>10</v>
      </c>
      <c r="G2" s="7" t="s">
        <v>11</v>
      </c>
      <c r="H2" s="7" t="s">
        <v>12</v>
      </c>
      <c r="I2" s="7" t="s">
        <v>13</v>
      </c>
    </row>
    <row r="3" spans="1:9" x14ac:dyDescent="0.25">
      <c r="A3" s="40">
        <v>13</v>
      </c>
      <c r="B3" s="36" t="s">
        <v>46</v>
      </c>
      <c r="C3" s="38" t="s">
        <v>7</v>
      </c>
      <c r="D3" s="38">
        <v>2</v>
      </c>
      <c r="E3" s="39">
        <f>IF(C20&lt;=25%,D20,MIN(E20:F20))</f>
        <v>733.15</v>
      </c>
      <c r="F3" s="39">
        <f>MIN(H3:H17)</f>
        <v>530</v>
      </c>
      <c r="G3" s="6" t="s">
        <v>134</v>
      </c>
      <c r="H3" s="17">
        <v>2799.98</v>
      </c>
      <c r="I3" s="18" t="str">
        <f>IF(H3="","",(IF($C$20&lt;25%,"n/a",IF(H3&lt;=($D$20+$A$20),H3,"Descartado"))))</f>
        <v>Descartado</v>
      </c>
    </row>
    <row r="4" spans="1:9" x14ac:dyDescent="0.25">
      <c r="A4" s="40"/>
      <c r="B4" s="37"/>
      <c r="C4" s="38"/>
      <c r="D4" s="38"/>
      <c r="E4" s="39"/>
      <c r="F4" s="39"/>
      <c r="G4" s="6" t="s">
        <v>135</v>
      </c>
      <c r="H4" s="17">
        <v>839.76</v>
      </c>
      <c r="I4" s="18">
        <f t="shared" ref="I4:I17" si="0">IF(H4="","",(IF($C$20&lt;25%,"n/a",IF(H4&lt;=($D$20+$A$20),H4,"Descartado"))))</f>
        <v>839.76</v>
      </c>
    </row>
    <row r="5" spans="1:9" x14ac:dyDescent="0.25">
      <c r="A5" s="40"/>
      <c r="B5" s="37"/>
      <c r="C5" s="38"/>
      <c r="D5" s="38"/>
      <c r="E5" s="39"/>
      <c r="F5" s="39"/>
      <c r="G5" s="6" t="s">
        <v>136</v>
      </c>
      <c r="H5" s="17">
        <v>657.09</v>
      </c>
      <c r="I5" s="18">
        <f t="shared" si="0"/>
        <v>657.09</v>
      </c>
    </row>
    <row r="6" spans="1:9" x14ac:dyDescent="0.25">
      <c r="A6" s="40"/>
      <c r="B6" s="37"/>
      <c r="C6" s="38"/>
      <c r="D6" s="38"/>
      <c r="E6" s="39"/>
      <c r="F6" s="39"/>
      <c r="G6" s="6" t="s">
        <v>104</v>
      </c>
      <c r="H6" s="17">
        <v>939</v>
      </c>
      <c r="I6" s="18">
        <f t="shared" si="0"/>
        <v>939</v>
      </c>
    </row>
    <row r="7" spans="1:9" x14ac:dyDescent="0.25">
      <c r="A7" s="40"/>
      <c r="B7" s="37"/>
      <c r="C7" s="38"/>
      <c r="D7" s="38"/>
      <c r="E7" s="39"/>
      <c r="F7" s="39"/>
      <c r="G7" s="6" t="s">
        <v>188</v>
      </c>
      <c r="H7" s="17">
        <v>530</v>
      </c>
      <c r="I7" s="18">
        <f t="shared" si="0"/>
        <v>530</v>
      </c>
    </row>
    <row r="8" spans="1:9" x14ac:dyDescent="0.25">
      <c r="A8" s="40"/>
      <c r="B8" s="37"/>
      <c r="C8" s="38"/>
      <c r="D8" s="38"/>
      <c r="E8" s="39"/>
      <c r="F8" s="39"/>
      <c r="G8" s="6" t="s">
        <v>189</v>
      </c>
      <c r="H8" s="17">
        <v>699.9</v>
      </c>
      <c r="I8" s="18">
        <f t="shared" si="0"/>
        <v>699.9</v>
      </c>
    </row>
    <row r="9" spans="1:9" x14ac:dyDescent="0.25">
      <c r="A9" s="40"/>
      <c r="B9" s="37"/>
      <c r="C9" s="38"/>
      <c r="D9" s="38"/>
      <c r="E9" s="39"/>
      <c r="F9" s="39"/>
      <c r="G9" s="6"/>
      <c r="H9" s="17"/>
      <c r="I9" s="18" t="str">
        <f t="shared" si="0"/>
        <v/>
      </c>
    </row>
    <row r="10" spans="1:9" x14ac:dyDescent="0.25">
      <c r="A10" s="40"/>
      <c r="B10" s="37"/>
      <c r="C10" s="38"/>
      <c r="D10" s="38"/>
      <c r="E10" s="39"/>
      <c r="F10" s="39"/>
      <c r="G10" s="6"/>
      <c r="H10" s="17"/>
      <c r="I10" s="18" t="str">
        <f t="shared" si="0"/>
        <v/>
      </c>
    </row>
    <row r="11" spans="1:9" x14ac:dyDescent="0.25">
      <c r="A11" s="40"/>
      <c r="B11" s="37"/>
      <c r="C11" s="38"/>
      <c r="D11" s="38"/>
      <c r="E11" s="39"/>
      <c r="F11" s="39"/>
      <c r="G11" s="6"/>
      <c r="H11" s="17"/>
      <c r="I11" s="18" t="str">
        <f t="shared" si="0"/>
        <v/>
      </c>
    </row>
    <row r="12" spans="1:9" x14ac:dyDescent="0.25">
      <c r="A12" s="40"/>
      <c r="B12" s="37"/>
      <c r="C12" s="38"/>
      <c r="D12" s="38"/>
      <c r="E12" s="39"/>
      <c r="F12" s="39"/>
      <c r="G12" s="6"/>
      <c r="H12" s="17"/>
      <c r="I12" s="18" t="str">
        <f t="shared" si="0"/>
        <v/>
      </c>
    </row>
    <row r="13" spans="1:9" x14ac:dyDescent="0.25">
      <c r="A13" s="40"/>
      <c r="B13" s="37"/>
      <c r="C13" s="38"/>
      <c r="D13" s="38"/>
      <c r="E13" s="39"/>
      <c r="F13" s="39"/>
      <c r="G13" s="6"/>
      <c r="H13" s="17"/>
      <c r="I13" s="18" t="str">
        <f t="shared" si="0"/>
        <v/>
      </c>
    </row>
    <row r="14" spans="1:9" x14ac:dyDescent="0.25">
      <c r="A14" s="40"/>
      <c r="B14" s="37"/>
      <c r="C14" s="38"/>
      <c r="D14" s="38"/>
      <c r="E14" s="39"/>
      <c r="F14" s="39"/>
      <c r="G14" s="6"/>
      <c r="H14" s="17"/>
      <c r="I14" s="18" t="str">
        <f t="shared" si="0"/>
        <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7" t="s">
        <v>14</v>
      </c>
      <c r="B19" s="7" t="s">
        <v>15</v>
      </c>
      <c r="C19" s="7" t="s">
        <v>25</v>
      </c>
      <c r="D19" s="7" t="s">
        <v>16</v>
      </c>
      <c r="E19" s="7" t="s">
        <v>17</v>
      </c>
      <c r="F19" s="7" t="s">
        <v>18</v>
      </c>
      <c r="G19" s="34" t="s">
        <v>19</v>
      </c>
      <c r="H19" s="34"/>
    </row>
    <row r="20" spans="1:9" x14ac:dyDescent="0.25">
      <c r="A20" s="9">
        <f>IF(B20&lt;2,"n/a",(_xlfn.STDEV.S(H3:H17)))</f>
        <v>855.77127753662489</v>
      </c>
      <c r="B20" s="9">
        <f>COUNT(H3:H17)</f>
        <v>6</v>
      </c>
      <c r="C20" s="10">
        <f>IF(B20&lt;2,"n/a",(A20/D20))</f>
        <v>0.79413084161079506</v>
      </c>
      <c r="D20" s="11">
        <f>IFERROR(ROUND(AVERAGE(H3:H17),2),"")</f>
        <v>1077.6199999999999</v>
      </c>
      <c r="E20" s="16">
        <f>IFERROR(ROUND(IF(B20&lt;2,"n/a",(IF(C20&lt;=25%,"n/a",AVERAGE(I3:I17)))),2),"n/a")</f>
        <v>733.15</v>
      </c>
      <c r="F20" s="11">
        <f>IFERROR(ROUND(MEDIAN(H3:H17),2),"")</f>
        <v>769.83</v>
      </c>
      <c r="G20" s="12" t="str">
        <f>IFERROR(INDEX(G3:G17,MATCH(H20,H3:H17,0)),"")</f>
        <v>FOCUS ELETRONICOS</v>
      </c>
      <c r="H20" s="13">
        <f>F3</f>
        <v>530</v>
      </c>
    </row>
    <row r="22" spans="1:9" x14ac:dyDescent="0.25">
      <c r="G22" s="14" t="s">
        <v>20</v>
      </c>
      <c r="H22" s="15">
        <f>IF(C20&lt;=25%,D20,MIN(E20:F20))</f>
        <v>733.15</v>
      </c>
    </row>
    <row r="23" spans="1:9" x14ac:dyDescent="0.25">
      <c r="G23" s="14" t="s">
        <v>6</v>
      </c>
      <c r="H23" s="15">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0" sqref="G10"/>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7" t="s">
        <v>1</v>
      </c>
      <c r="B2" s="7" t="s">
        <v>2</v>
      </c>
      <c r="C2" s="7" t="s">
        <v>3</v>
      </c>
      <c r="D2" s="7" t="s">
        <v>4</v>
      </c>
      <c r="E2" s="7" t="s">
        <v>9</v>
      </c>
      <c r="F2" s="7" t="s">
        <v>10</v>
      </c>
      <c r="G2" s="7" t="s">
        <v>11</v>
      </c>
      <c r="H2" s="7" t="s">
        <v>12</v>
      </c>
      <c r="I2" s="7" t="s">
        <v>13</v>
      </c>
    </row>
    <row r="3" spans="1:9" x14ac:dyDescent="0.25">
      <c r="A3" s="40">
        <v>14</v>
      </c>
      <c r="B3" s="36" t="s">
        <v>47</v>
      </c>
      <c r="C3" s="38" t="s">
        <v>7</v>
      </c>
      <c r="D3" s="38">
        <v>2</v>
      </c>
      <c r="E3" s="39">
        <f>IF(C20&lt;=25%,D20,MIN(E20:F20))</f>
        <v>450</v>
      </c>
      <c r="F3" s="39">
        <f>MIN(H3:H17)</f>
        <v>305</v>
      </c>
      <c r="G3" s="6" t="s">
        <v>137</v>
      </c>
      <c r="H3" s="17">
        <v>450</v>
      </c>
      <c r="I3" s="18">
        <f>IF(H3="","",(IF($C$20&lt;25%,"n/a",IF(H3&lt;=($D$20+$A$20),H3,"Descartado"))))</f>
        <v>450</v>
      </c>
    </row>
    <row r="4" spans="1:9" x14ac:dyDescent="0.25">
      <c r="A4" s="40"/>
      <c r="B4" s="37"/>
      <c r="C4" s="38"/>
      <c r="D4" s="38"/>
      <c r="E4" s="39"/>
      <c r="F4" s="39"/>
      <c r="G4" s="6" t="s">
        <v>138</v>
      </c>
      <c r="H4" s="17">
        <v>425.7</v>
      </c>
      <c r="I4" s="18">
        <f t="shared" ref="I4:I17" si="0">IF(H4="","",(IF($C$20&lt;25%,"n/a",IF(H4&lt;=($D$20+$A$20),H4,"Descartado"))))</f>
        <v>425.7</v>
      </c>
    </row>
    <row r="5" spans="1:9" x14ac:dyDescent="0.25">
      <c r="A5" s="40"/>
      <c r="B5" s="37"/>
      <c r="C5" s="38"/>
      <c r="D5" s="38"/>
      <c r="E5" s="39"/>
      <c r="F5" s="39"/>
      <c r="G5" s="6" t="s">
        <v>109</v>
      </c>
      <c r="H5" s="17">
        <v>471.67</v>
      </c>
      <c r="I5" s="18">
        <f t="shared" si="0"/>
        <v>471.67</v>
      </c>
    </row>
    <row r="6" spans="1:9" x14ac:dyDescent="0.25">
      <c r="A6" s="40"/>
      <c r="B6" s="37"/>
      <c r="C6" s="38"/>
      <c r="D6" s="38"/>
      <c r="E6" s="39"/>
      <c r="F6" s="39"/>
      <c r="G6" s="6" t="s">
        <v>111</v>
      </c>
      <c r="H6" s="17">
        <v>749.5</v>
      </c>
      <c r="I6" s="18">
        <f t="shared" si="0"/>
        <v>749.5</v>
      </c>
    </row>
    <row r="7" spans="1:9" x14ac:dyDescent="0.25">
      <c r="A7" s="40"/>
      <c r="B7" s="37"/>
      <c r="C7" s="38"/>
      <c r="D7" s="38"/>
      <c r="E7" s="39"/>
      <c r="F7" s="39"/>
      <c r="G7" s="6" t="s">
        <v>139</v>
      </c>
      <c r="H7" s="17">
        <v>4000</v>
      </c>
      <c r="I7" s="18" t="str">
        <f t="shared" si="0"/>
        <v>Descartado</v>
      </c>
    </row>
    <row r="8" spans="1:9" x14ac:dyDescent="0.25">
      <c r="A8" s="40"/>
      <c r="B8" s="37"/>
      <c r="C8" s="38"/>
      <c r="D8" s="38"/>
      <c r="E8" s="39"/>
      <c r="F8" s="39"/>
      <c r="G8" s="6" t="s">
        <v>140</v>
      </c>
      <c r="H8" s="17">
        <v>305</v>
      </c>
      <c r="I8" s="18">
        <f t="shared" si="0"/>
        <v>305</v>
      </c>
    </row>
    <row r="9" spans="1:9" x14ac:dyDescent="0.25">
      <c r="A9" s="40"/>
      <c r="B9" s="37"/>
      <c r="C9" s="38"/>
      <c r="D9" s="38"/>
      <c r="E9" s="39"/>
      <c r="F9" s="39"/>
      <c r="G9" s="6" t="s">
        <v>179</v>
      </c>
      <c r="H9" s="17">
        <v>441</v>
      </c>
      <c r="I9" s="18">
        <f t="shared" si="0"/>
        <v>441</v>
      </c>
    </row>
    <row r="10" spans="1:9" x14ac:dyDescent="0.25">
      <c r="A10" s="40"/>
      <c r="B10" s="37"/>
      <c r="C10" s="38"/>
      <c r="D10" s="38"/>
      <c r="E10" s="39"/>
      <c r="F10" s="39"/>
      <c r="G10" s="6"/>
      <c r="H10" s="17"/>
      <c r="I10" s="18" t="str">
        <f t="shared" si="0"/>
        <v/>
      </c>
    </row>
    <row r="11" spans="1:9" x14ac:dyDescent="0.25">
      <c r="A11" s="40"/>
      <c r="B11" s="37"/>
      <c r="C11" s="38"/>
      <c r="D11" s="38"/>
      <c r="E11" s="39"/>
      <c r="F11" s="39"/>
      <c r="G11" s="6"/>
      <c r="H11" s="17"/>
      <c r="I11" s="18" t="str">
        <f t="shared" si="0"/>
        <v/>
      </c>
    </row>
    <row r="12" spans="1:9" x14ac:dyDescent="0.25">
      <c r="A12" s="40"/>
      <c r="B12" s="37"/>
      <c r="C12" s="38"/>
      <c r="D12" s="38"/>
      <c r="E12" s="39"/>
      <c r="F12" s="39"/>
      <c r="G12" s="6"/>
      <c r="H12" s="17"/>
      <c r="I12" s="18" t="str">
        <f t="shared" si="0"/>
        <v/>
      </c>
    </row>
    <row r="13" spans="1:9" x14ac:dyDescent="0.25">
      <c r="A13" s="40"/>
      <c r="B13" s="37"/>
      <c r="C13" s="38"/>
      <c r="D13" s="38"/>
      <c r="E13" s="39"/>
      <c r="F13" s="39"/>
      <c r="G13" s="6"/>
      <c r="H13" s="17"/>
      <c r="I13" s="18" t="str">
        <f t="shared" si="0"/>
        <v/>
      </c>
    </row>
    <row r="14" spans="1:9" x14ac:dyDescent="0.25">
      <c r="A14" s="40"/>
      <c r="B14" s="37"/>
      <c r="C14" s="38"/>
      <c r="D14" s="38"/>
      <c r="E14" s="39"/>
      <c r="F14" s="39"/>
      <c r="G14" s="6"/>
      <c r="H14" s="17"/>
      <c r="I14" s="18" t="str">
        <f t="shared" si="0"/>
        <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7" t="s">
        <v>14</v>
      </c>
      <c r="B19" s="7" t="s">
        <v>15</v>
      </c>
      <c r="C19" s="7" t="s">
        <v>25</v>
      </c>
      <c r="D19" s="7" t="s">
        <v>16</v>
      </c>
      <c r="E19" s="7" t="s">
        <v>17</v>
      </c>
      <c r="F19" s="7" t="s">
        <v>18</v>
      </c>
      <c r="G19" s="34" t="s">
        <v>19</v>
      </c>
      <c r="H19" s="34"/>
    </row>
    <row r="20" spans="1:9" x14ac:dyDescent="0.25">
      <c r="A20" s="9">
        <f>IF(B20&lt;2,"n/a",(_xlfn.STDEV.S(H3:H17)))</f>
        <v>1339.5386151795487</v>
      </c>
      <c r="B20" s="9">
        <f>COUNT(H3:H17)</f>
        <v>7</v>
      </c>
      <c r="C20" s="10">
        <f>IF(B20&lt;2,"n/a",(A20/D20))</f>
        <v>1.3703018926699901</v>
      </c>
      <c r="D20" s="11">
        <f>IFERROR(ROUND(AVERAGE(H3:H17),2),"")</f>
        <v>977.55</v>
      </c>
      <c r="E20" s="16">
        <f>IFERROR(ROUND(IF(B20&lt;2,"n/a",(IF(C20&lt;=25%,"n/a",AVERAGE(I3:I17)))),2),"n/a")</f>
        <v>473.81</v>
      </c>
      <c r="F20" s="11">
        <f>IFERROR(ROUND(MEDIAN(H3:H17),2),"")</f>
        <v>450</v>
      </c>
      <c r="G20" s="12" t="str">
        <f>IFERROR(INDEX(G3:G17,MATCH(H20,H3:H17,0)),"")</f>
        <v>ISALTEC COMERCIO DE INSTRUMENTOS DE MEDICAO LTDA</v>
      </c>
      <c r="H20" s="13">
        <f>F3</f>
        <v>305</v>
      </c>
    </row>
    <row r="22" spans="1:9" x14ac:dyDescent="0.25">
      <c r="G22" s="14" t="s">
        <v>20</v>
      </c>
      <c r="H22" s="15">
        <f>IF(C20&lt;=25%,D20,MIN(E20:F20))</f>
        <v>450</v>
      </c>
    </row>
    <row r="23" spans="1:9" x14ac:dyDescent="0.25">
      <c r="G23" s="14" t="s">
        <v>6</v>
      </c>
      <c r="H23" s="15">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6" sqref="G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7" t="s">
        <v>1</v>
      </c>
      <c r="B2" s="7" t="s">
        <v>2</v>
      </c>
      <c r="C2" s="7" t="s">
        <v>3</v>
      </c>
      <c r="D2" s="7" t="s">
        <v>4</v>
      </c>
      <c r="E2" s="7" t="s">
        <v>9</v>
      </c>
      <c r="F2" s="7" t="s">
        <v>10</v>
      </c>
      <c r="G2" s="7" t="s">
        <v>11</v>
      </c>
      <c r="H2" s="7" t="s">
        <v>12</v>
      </c>
      <c r="I2" s="7" t="s">
        <v>13</v>
      </c>
    </row>
    <row r="3" spans="1:9" x14ac:dyDescent="0.25">
      <c r="A3" s="40">
        <v>15</v>
      </c>
      <c r="B3" s="36" t="s">
        <v>48</v>
      </c>
      <c r="C3" s="38" t="s">
        <v>7</v>
      </c>
      <c r="D3" s="38">
        <v>1</v>
      </c>
      <c r="E3" s="39">
        <f>IF(C20&lt;=25%,D20,MIN(E20:F20))</f>
        <v>793.68</v>
      </c>
      <c r="F3" s="39">
        <f>MIN(H3:H17)</f>
        <v>747.75</v>
      </c>
      <c r="G3" s="6" t="s">
        <v>141</v>
      </c>
      <c r="H3" s="17">
        <v>839.6</v>
      </c>
      <c r="I3" s="18">
        <f>IF(H3="","",(IF($C$20&lt;25%,"n/a",IF(H3&lt;=($D$20+$A$20),H3,"Descartado"))))</f>
        <v>839.6</v>
      </c>
    </row>
    <row r="4" spans="1:9" x14ac:dyDescent="0.25">
      <c r="A4" s="40"/>
      <c r="B4" s="37"/>
      <c r="C4" s="38"/>
      <c r="D4" s="38"/>
      <c r="E4" s="39"/>
      <c r="F4" s="39"/>
      <c r="G4" s="6" t="s">
        <v>142</v>
      </c>
      <c r="H4" s="17">
        <v>747.75</v>
      </c>
      <c r="I4" s="18">
        <f t="shared" ref="I4:I17" si="0">IF(H4="","",(IF($C$20&lt;25%,"n/a",IF(H4&lt;=($D$20+$A$20),H4,"Descartado"))))</f>
        <v>747.75</v>
      </c>
    </row>
    <row r="5" spans="1:9" x14ac:dyDescent="0.25">
      <c r="A5" s="40"/>
      <c r="B5" s="37"/>
      <c r="C5" s="38"/>
      <c r="D5" s="38"/>
      <c r="E5" s="39"/>
      <c r="F5" s="39"/>
      <c r="G5" s="6" t="s">
        <v>179</v>
      </c>
      <c r="H5" s="17">
        <v>1201.19</v>
      </c>
      <c r="I5" s="18" t="str">
        <f t="shared" si="0"/>
        <v>Descartado</v>
      </c>
    </row>
    <row r="6" spans="1:9" x14ac:dyDescent="0.25">
      <c r="A6" s="40"/>
      <c r="B6" s="37"/>
      <c r="C6" s="38"/>
      <c r="D6" s="38"/>
      <c r="E6" s="39"/>
      <c r="F6" s="39"/>
      <c r="G6" s="6"/>
      <c r="H6" s="17"/>
      <c r="I6" s="18" t="str">
        <f t="shared" si="0"/>
        <v/>
      </c>
    </row>
    <row r="7" spans="1:9" x14ac:dyDescent="0.25">
      <c r="A7" s="40"/>
      <c r="B7" s="37"/>
      <c r="C7" s="38"/>
      <c r="D7" s="38"/>
      <c r="E7" s="39"/>
      <c r="F7" s="39"/>
      <c r="G7" s="6"/>
      <c r="H7" s="17"/>
      <c r="I7" s="18" t="str">
        <f t="shared" si="0"/>
        <v/>
      </c>
    </row>
    <row r="8" spans="1:9" x14ac:dyDescent="0.25">
      <c r="A8" s="40"/>
      <c r="B8" s="37"/>
      <c r="C8" s="38"/>
      <c r="D8" s="38"/>
      <c r="E8" s="39"/>
      <c r="F8" s="39"/>
      <c r="G8" s="6"/>
      <c r="H8" s="17"/>
      <c r="I8" s="18" t="str">
        <f t="shared" si="0"/>
        <v/>
      </c>
    </row>
    <row r="9" spans="1:9" x14ac:dyDescent="0.25">
      <c r="A9" s="40"/>
      <c r="B9" s="37"/>
      <c r="C9" s="38"/>
      <c r="D9" s="38"/>
      <c r="E9" s="39"/>
      <c r="F9" s="39"/>
      <c r="G9" s="6"/>
      <c r="H9" s="17"/>
      <c r="I9" s="18" t="str">
        <f t="shared" si="0"/>
        <v/>
      </c>
    </row>
    <row r="10" spans="1:9" x14ac:dyDescent="0.25">
      <c r="A10" s="40"/>
      <c r="B10" s="37"/>
      <c r="C10" s="38"/>
      <c r="D10" s="38"/>
      <c r="E10" s="39"/>
      <c r="F10" s="39"/>
      <c r="G10" s="6"/>
      <c r="H10" s="17"/>
      <c r="I10" s="18" t="str">
        <f t="shared" si="0"/>
        <v/>
      </c>
    </row>
    <row r="11" spans="1:9" x14ac:dyDescent="0.25">
      <c r="A11" s="40"/>
      <c r="B11" s="37"/>
      <c r="C11" s="38"/>
      <c r="D11" s="38"/>
      <c r="E11" s="39"/>
      <c r="F11" s="39"/>
      <c r="G11" s="6"/>
      <c r="H11" s="17"/>
      <c r="I11" s="18" t="str">
        <f t="shared" si="0"/>
        <v/>
      </c>
    </row>
    <row r="12" spans="1:9" x14ac:dyDescent="0.25">
      <c r="A12" s="40"/>
      <c r="B12" s="37"/>
      <c r="C12" s="38"/>
      <c r="D12" s="38"/>
      <c r="E12" s="39"/>
      <c r="F12" s="39"/>
      <c r="G12" s="6"/>
      <c r="H12" s="17"/>
      <c r="I12" s="18" t="str">
        <f t="shared" si="0"/>
        <v/>
      </c>
    </row>
    <row r="13" spans="1:9" x14ac:dyDescent="0.25">
      <c r="A13" s="40"/>
      <c r="B13" s="37"/>
      <c r="C13" s="38"/>
      <c r="D13" s="38"/>
      <c r="E13" s="39"/>
      <c r="F13" s="39"/>
      <c r="G13" s="6"/>
      <c r="H13" s="17"/>
      <c r="I13" s="18" t="str">
        <f t="shared" si="0"/>
        <v/>
      </c>
    </row>
    <row r="14" spans="1:9" x14ac:dyDescent="0.25">
      <c r="A14" s="40"/>
      <c r="B14" s="37"/>
      <c r="C14" s="38"/>
      <c r="D14" s="38"/>
      <c r="E14" s="39"/>
      <c r="F14" s="39"/>
      <c r="G14" s="6"/>
      <c r="H14" s="17"/>
      <c r="I14" s="18" t="str">
        <f t="shared" si="0"/>
        <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7" t="s">
        <v>14</v>
      </c>
      <c r="B19" s="7" t="s">
        <v>15</v>
      </c>
      <c r="C19" s="7" t="s">
        <v>25</v>
      </c>
      <c r="D19" s="7" t="s">
        <v>16</v>
      </c>
      <c r="E19" s="7" t="s">
        <v>17</v>
      </c>
      <c r="F19" s="7" t="s">
        <v>18</v>
      </c>
      <c r="G19" s="34" t="s">
        <v>19</v>
      </c>
      <c r="H19" s="34"/>
    </row>
    <row r="20" spans="1:9" x14ac:dyDescent="0.25">
      <c r="A20" s="9">
        <f>IF(B20&lt;2,"n/a",(_xlfn.STDEV.S(H3:H17)))</f>
        <v>239.71913572623566</v>
      </c>
      <c r="B20" s="9">
        <f>COUNT(H3:H17)</f>
        <v>3</v>
      </c>
      <c r="C20" s="10">
        <f>IF(B20&lt;2,"n/a",(A20/D20))</f>
        <v>0.25789839348284116</v>
      </c>
      <c r="D20" s="11">
        <f>IFERROR(ROUND(AVERAGE(H3:H17),2),"")</f>
        <v>929.51</v>
      </c>
      <c r="E20" s="16">
        <f>IFERROR(ROUND(IF(B20&lt;2,"n/a",(IF(C20&lt;=25%,"n/a",AVERAGE(I3:I17)))),2),"n/a")</f>
        <v>793.68</v>
      </c>
      <c r="F20" s="11">
        <f>IFERROR(ROUND(MEDIAN(H3:H17),2),"")</f>
        <v>839.6</v>
      </c>
      <c r="G20" s="12" t="str">
        <f>IFERROR(INDEX(G3:G17,MATCH(H20,H3:H17,0)),"")</f>
        <v>HS-CPQ TECNOLOGIA LTDA</v>
      </c>
      <c r="H20" s="13">
        <f>F3</f>
        <v>747.75</v>
      </c>
    </row>
    <row r="22" spans="1:9" x14ac:dyDescent="0.25">
      <c r="G22" s="14" t="s">
        <v>20</v>
      </c>
      <c r="H22" s="15">
        <f>IF(C20&lt;=25%,D20,MIN(E20:F20))</f>
        <v>793.68</v>
      </c>
    </row>
    <row r="23" spans="1:9" x14ac:dyDescent="0.25">
      <c r="G23" s="14" t="s">
        <v>6</v>
      </c>
      <c r="H23" s="15">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0" sqref="G10"/>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7" t="s">
        <v>1</v>
      </c>
      <c r="B2" s="7" t="s">
        <v>2</v>
      </c>
      <c r="C2" s="7" t="s">
        <v>3</v>
      </c>
      <c r="D2" s="7" t="s">
        <v>4</v>
      </c>
      <c r="E2" s="7" t="s">
        <v>9</v>
      </c>
      <c r="F2" s="7" t="s">
        <v>10</v>
      </c>
      <c r="G2" s="7" t="s">
        <v>11</v>
      </c>
      <c r="H2" s="7" t="s">
        <v>12</v>
      </c>
      <c r="I2" s="7" t="s">
        <v>13</v>
      </c>
    </row>
    <row r="3" spans="1:9" x14ac:dyDescent="0.25">
      <c r="A3" s="40">
        <v>16</v>
      </c>
      <c r="B3" s="36" t="s">
        <v>49</v>
      </c>
      <c r="C3" s="38" t="s">
        <v>7</v>
      </c>
      <c r="D3" s="38">
        <v>1</v>
      </c>
      <c r="E3" s="39">
        <f>IF(C20&lt;=25%,D20,MIN(E20:F20))</f>
        <v>2798</v>
      </c>
      <c r="F3" s="39">
        <f>MIN(H3:H17)</f>
        <v>1999</v>
      </c>
      <c r="G3" s="6" t="s">
        <v>143</v>
      </c>
      <c r="H3" s="17">
        <v>43500</v>
      </c>
      <c r="I3" s="18" t="str">
        <f>IF(H3="","",(IF($C$20&lt;25%,"n/a",IF(H3&lt;=($D$20+$A$20),H3,"Descartado"))))</f>
        <v>Descartado</v>
      </c>
    </row>
    <row r="4" spans="1:9" x14ac:dyDescent="0.25">
      <c r="A4" s="40"/>
      <c r="B4" s="37"/>
      <c r="C4" s="38"/>
      <c r="D4" s="38"/>
      <c r="E4" s="39"/>
      <c r="F4" s="39"/>
      <c r="G4" s="6" t="s">
        <v>144</v>
      </c>
      <c r="H4" s="17">
        <v>3750</v>
      </c>
      <c r="I4" s="18">
        <f t="shared" ref="I4:I17" si="0">IF(H4="","",(IF($C$20&lt;25%,"n/a",IF(H4&lt;=($D$20+$A$20),H4,"Descartado"))))</f>
        <v>3750</v>
      </c>
    </row>
    <row r="5" spans="1:9" x14ac:dyDescent="0.25">
      <c r="A5" s="40"/>
      <c r="B5" s="37"/>
      <c r="C5" s="38"/>
      <c r="D5" s="38"/>
      <c r="E5" s="39"/>
      <c r="F5" s="39"/>
      <c r="G5" s="6" t="s">
        <v>145</v>
      </c>
      <c r="H5" s="17">
        <v>2000</v>
      </c>
      <c r="I5" s="18">
        <f t="shared" si="0"/>
        <v>2000</v>
      </c>
    </row>
    <row r="6" spans="1:9" x14ac:dyDescent="0.25">
      <c r="A6" s="40"/>
      <c r="B6" s="37"/>
      <c r="C6" s="38"/>
      <c r="D6" s="38"/>
      <c r="E6" s="39"/>
      <c r="F6" s="39"/>
      <c r="G6" s="6" t="s">
        <v>146</v>
      </c>
      <c r="H6" s="17">
        <v>19250</v>
      </c>
      <c r="I6" s="18">
        <f t="shared" si="0"/>
        <v>19250</v>
      </c>
    </row>
    <row r="7" spans="1:9" x14ac:dyDescent="0.25">
      <c r="A7" s="40"/>
      <c r="B7" s="37"/>
      <c r="C7" s="38"/>
      <c r="D7" s="38"/>
      <c r="E7" s="39"/>
      <c r="F7" s="39"/>
      <c r="G7" s="6" t="s">
        <v>178</v>
      </c>
      <c r="H7" s="17">
        <v>2778.37</v>
      </c>
      <c r="I7" s="18">
        <f t="shared" si="0"/>
        <v>2778.37</v>
      </c>
    </row>
    <row r="8" spans="1:9" x14ac:dyDescent="0.25">
      <c r="A8" s="40"/>
      <c r="B8" s="37"/>
      <c r="C8" s="38"/>
      <c r="D8" s="38"/>
      <c r="E8" s="39"/>
      <c r="F8" s="39"/>
      <c r="G8" s="6" t="s">
        <v>190</v>
      </c>
      <c r="H8" s="17">
        <v>1999</v>
      </c>
      <c r="I8" s="18">
        <f t="shared" si="0"/>
        <v>1999</v>
      </c>
    </row>
    <row r="9" spans="1:9" x14ac:dyDescent="0.25">
      <c r="A9" s="40"/>
      <c r="B9" s="37"/>
      <c r="C9" s="38"/>
      <c r="D9" s="38"/>
      <c r="E9" s="39"/>
      <c r="F9" s="39"/>
      <c r="G9" s="6" t="s">
        <v>191</v>
      </c>
      <c r="H9" s="17">
        <v>2798</v>
      </c>
      <c r="I9" s="18">
        <f t="shared" si="0"/>
        <v>2798</v>
      </c>
    </row>
    <row r="10" spans="1:9" x14ac:dyDescent="0.25">
      <c r="A10" s="40"/>
      <c r="B10" s="37"/>
      <c r="C10" s="38"/>
      <c r="D10" s="38"/>
      <c r="E10" s="39"/>
      <c r="F10" s="39"/>
      <c r="G10" s="6"/>
      <c r="H10" s="17"/>
      <c r="I10" s="18" t="str">
        <f t="shared" si="0"/>
        <v/>
      </c>
    </row>
    <row r="11" spans="1:9" x14ac:dyDescent="0.25">
      <c r="A11" s="40"/>
      <c r="B11" s="37"/>
      <c r="C11" s="38"/>
      <c r="D11" s="38"/>
      <c r="E11" s="39"/>
      <c r="F11" s="39"/>
      <c r="G11" s="6"/>
      <c r="H11" s="17"/>
      <c r="I11" s="18" t="str">
        <f t="shared" si="0"/>
        <v/>
      </c>
    </row>
    <row r="12" spans="1:9" x14ac:dyDescent="0.25">
      <c r="A12" s="40"/>
      <c r="B12" s="37"/>
      <c r="C12" s="38"/>
      <c r="D12" s="38"/>
      <c r="E12" s="39"/>
      <c r="F12" s="39"/>
      <c r="G12" s="6"/>
      <c r="H12" s="17"/>
      <c r="I12" s="18" t="str">
        <f t="shared" si="0"/>
        <v/>
      </c>
    </row>
    <row r="13" spans="1:9" x14ac:dyDescent="0.25">
      <c r="A13" s="40"/>
      <c r="B13" s="37"/>
      <c r="C13" s="38"/>
      <c r="D13" s="38"/>
      <c r="E13" s="39"/>
      <c r="F13" s="39"/>
      <c r="G13" s="6"/>
      <c r="H13" s="17"/>
      <c r="I13" s="18" t="str">
        <f t="shared" si="0"/>
        <v/>
      </c>
    </row>
    <row r="14" spans="1:9" x14ac:dyDescent="0.25">
      <c r="A14" s="40"/>
      <c r="B14" s="37"/>
      <c r="C14" s="38"/>
      <c r="D14" s="38"/>
      <c r="E14" s="39"/>
      <c r="F14" s="39"/>
      <c r="G14" s="6"/>
      <c r="H14" s="17"/>
      <c r="I14" s="18" t="str">
        <f t="shared" si="0"/>
        <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7" t="s">
        <v>14</v>
      </c>
      <c r="B19" s="7" t="s">
        <v>15</v>
      </c>
      <c r="C19" s="7" t="s">
        <v>25</v>
      </c>
      <c r="D19" s="7" t="s">
        <v>16</v>
      </c>
      <c r="E19" s="7" t="s">
        <v>17</v>
      </c>
      <c r="F19" s="7" t="s">
        <v>18</v>
      </c>
      <c r="G19" s="34" t="s">
        <v>19</v>
      </c>
      <c r="H19" s="34"/>
    </row>
    <row r="20" spans="1:9" x14ac:dyDescent="0.25">
      <c r="A20" s="9">
        <f>IF(B20&lt;2,"n/a",(_xlfn.STDEV.S(H3:H17)))</f>
        <v>15671.837110350742</v>
      </c>
      <c r="B20" s="9">
        <f>COUNT(H3:H17)</f>
        <v>7</v>
      </c>
      <c r="C20" s="10">
        <f>IF(B20&lt;2,"n/a",(A20/D20))</f>
        <v>1.4420286062684309</v>
      </c>
      <c r="D20" s="11">
        <f>IFERROR(ROUND(AVERAGE(H3:H17),2),"")</f>
        <v>10867.91</v>
      </c>
      <c r="E20" s="16">
        <f>IFERROR(ROUND(IF(B20&lt;2,"n/a",(IF(C20&lt;=25%,"n/a",AVERAGE(I3:I17)))),2),"n/a")</f>
        <v>5429.23</v>
      </c>
      <c r="F20" s="11">
        <f>IFERROR(ROUND(MEDIAN(H3:H17),2),"")</f>
        <v>2798</v>
      </c>
      <c r="G20" s="12" t="str">
        <f>IFERROR(INDEX(G3:G17,MATCH(H20,H3:H17,0)),"")</f>
        <v>ROLAND STORE</v>
      </c>
      <c r="H20" s="13">
        <f>F3</f>
        <v>1999</v>
      </c>
    </row>
    <row r="22" spans="1:9" x14ac:dyDescent="0.25">
      <c r="G22" s="14" t="s">
        <v>20</v>
      </c>
      <c r="H22" s="15">
        <f>IF(C20&lt;=25%,D20,MIN(E20:F20))</f>
        <v>2798</v>
      </c>
    </row>
    <row r="23" spans="1:9" x14ac:dyDescent="0.25">
      <c r="G23" s="14" t="s">
        <v>6</v>
      </c>
      <c r="H23" s="15">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9" sqref="G9:G10"/>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7" t="s">
        <v>1</v>
      </c>
      <c r="B2" s="7" t="s">
        <v>2</v>
      </c>
      <c r="C2" s="7" t="s">
        <v>3</v>
      </c>
      <c r="D2" s="7" t="s">
        <v>4</v>
      </c>
      <c r="E2" s="7" t="s">
        <v>9</v>
      </c>
      <c r="F2" s="7" t="s">
        <v>10</v>
      </c>
      <c r="G2" s="7" t="s">
        <v>11</v>
      </c>
      <c r="H2" s="7" t="s">
        <v>12</v>
      </c>
      <c r="I2" s="7" t="s">
        <v>13</v>
      </c>
    </row>
    <row r="3" spans="1:9" x14ac:dyDescent="0.25">
      <c r="A3" s="40">
        <v>17</v>
      </c>
      <c r="B3" s="36" t="s">
        <v>50</v>
      </c>
      <c r="C3" s="38" t="s">
        <v>7</v>
      </c>
      <c r="D3" s="38">
        <v>1</v>
      </c>
      <c r="E3" s="39">
        <f>IF(C20&lt;=25%,D20,MIN(E20:F20))</f>
        <v>420.75</v>
      </c>
      <c r="F3" s="39">
        <f>MIN(H3:H17)</f>
        <v>259.99</v>
      </c>
      <c r="G3" s="6" t="s">
        <v>147</v>
      </c>
      <c r="H3" s="17">
        <v>277.01</v>
      </c>
      <c r="I3" s="18">
        <f>IF(H3="","",(IF($C$20&lt;25%,"n/a",IF(H3&lt;=($D$20+$A$20),H3,"Descartado"))))</f>
        <v>277.01</v>
      </c>
    </row>
    <row r="4" spans="1:9" x14ac:dyDescent="0.25">
      <c r="A4" s="40"/>
      <c r="B4" s="37"/>
      <c r="C4" s="38"/>
      <c r="D4" s="38"/>
      <c r="E4" s="39"/>
      <c r="F4" s="39"/>
      <c r="G4" s="6" t="s">
        <v>148</v>
      </c>
      <c r="H4" s="17">
        <v>319</v>
      </c>
      <c r="I4" s="18">
        <f t="shared" ref="I4:I17" si="0">IF(H4="","",(IF($C$20&lt;25%,"n/a",IF(H4&lt;=($D$20+$A$20),H4,"Descartado"))))</f>
        <v>319</v>
      </c>
    </row>
    <row r="5" spans="1:9" x14ac:dyDescent="0.25">
      <c r="A5" s="40"/>
      <c r="B5" s="37"/>
      <c r="C5" s="38"/>
      <c r="D5" s="38"/>
      <c r="E5" s="39"/>
      <c r="F5" s="39"/>
      <c r="G5" s="6" t="s">
        <v>149</v>
      </c>
      <c r="H5" s="17">
        <v>308.55</v>
      </c>
      <c r="I5" s="18">
        <f t="shared" si="0"/>
        <v>308.55</v>
      </c>
    </row>
    <row r="6" spans="1:9" x14ac:dyDescent="0.25">
      <c r="A6" s="40"/>
      <c r="B6" s="37"/>
      <c r="C6" s="38"/>
      <c r="D6" s="38"/>
      <c r="E6" s="39"/>
      <c r="F6" s="39"/>
      <c r="G6" s="6" t="s">
        <v>76</v>
      </c>
      <c r="H6" s="17">
        <v>637.03</v>
      </c>
      <c r="I6" s="18">
        <f t="shared" si="0"/>
        <v>637.03</v>
      </c>
    </row>
    <row r="7" spans="1:9" x14ac:dyDescent="0.25">
      <c r="A7" s="40"/>
      <c r="B7" s="37"/>
      <c r="C7" s="38"/>
      <c r="D7" s="38"/>
      <c r="E7" s="39"/>
      <c r="F7" s="39"/>
      <c r="G7" s="6" t="s">
        <v>150</v>
      </c>
      <c r="H7" s="17">
        <v>4678</v>
      </c>
      <c r="I7" s="18" t="str">
        <f t="shared" si="0"/>
        <v>Descartado</v>
      </c>
    </row>
    <row r="8" spans="1:9" x14ac:dyDescent="0.25">
      <c r="A8" s="40"/>
      <c r="B8" s="37"/>
      <c r="C8" s="38"/>
      <c r="D8" s="38"/>
      <c r="E8" s="39"/>
      <c r="F8" s="39"/>
      <c r="G8" s="6" t="s">
        <v>118</v>
      </c>
      <c r="H8" s="17">
        <v>573.75</v>
      </c>
      <c r="I8" s="18">
        <f t="shared" si="0"/>
        <v>573.75</v>
      </c>
    </row>
    <row r="9" spans="1:9" x14ac:dyDescent="0.25">
      <c r="A9" s="40"/>
      <c r="B9" s="37"/>
      <c r="C9" s="38"/>
      <c r="D9" s="38"/>
      <c r="E9" s="39"/>
      <c r="F9" s="39"/>
      <c r="G9" s="6" t="s">
        <v>186</v>
      </c>
      <c r="H9" s="17">
        <v>259.99</v>
      </c>
      <c r="I9" s="18">
        <f t="shared" si="0"/>
        <v>259.99</v>
      </c>
    </row>
    <row r="10" spans="1:9" x14ac:dyDescent="0.25">
      <c r="A10" s="40"/>
      <c r="B10" s="37"/>
      <c r="C10" s="38"/>
      <c r="D10" s="38"/>
      <c r="E10" s="39"/>
      <c r="F10" s="39"/>
      <c r="G10" s="6" t="s">
        <v>192</v>
      </c>
      <c r="H10" s="17">
        <v>569.91</v>
      </c>
      <c r="I10" s="18">
        <f t="shared" si="0"/>
        <v>569.91</v>
      </c>
    </row>
    <row r="11" spans="1:9" x14ac:dyDescent="0.25">
      <c r="A11" s="40"/>
      <c r="B11" s="37"/>
      <c r="C11" s="38"/>
      <c r="D11" s="38"/>
      <c r="E11" s="39"/>
      <c r="F11" s="39"/>
      <c r="G11" s="6"/>
      <c r="H11" s="17"/>
      <c r="I11" s="18" t="str">
        <f t="shared" si="0"/>
        <v/>
      </c>
    </row>
    <row r="12" spans="1:9" x14ac:dyDescent="0.25">
      <c r="A12" s="40"/>
      <c r="B12" s="37"/>
      <c r="C12" s="38"/>
      <c r="D12" s="38"/>
      <c r="E12" s="39"/>
      <c r="F12" s="39"/>
      <c r="G12" s="6"/>
      <c r="H12" s="17"/>
      <c r="I12" s="18" t="str">
        <f t="shared" si="0"/>
        <v/>
      </c>
    </row>
    <row r="13" spans="1:9" x14ac:dyDescent="0.25">
      <c r="A13" s="40"/>
      <c r="B13" s="37"/>
      <c r="C13" s="38"/>
      <c r="D13" s="38"/>
      <c r="E13" s="39"/>
      <c r="F13" s="39"/>
      <c r="G13" s="6"/>
      <c r="H13" s="17"/>
      <c r="I13" s="18" t="str">
        <f t="shared" si="0"/>
        <v/>
      </c>
    </row>
    <row r="14" spans="1:9" x14ac:dyDescent="0.25">
      <c r="A14" s="40"/>
      <c r="B14" s="37"/>
      <c r="C14" s="38"/>
      <c r="D14" s="38"/>
      <c r="E14" s="39"/>
      <c r="F14" s="39"/>
      <c r="G14" s="6"/>
      <c r="H14" s="17"/>
      <c r="I14" s="18" t="str">
        <f t="shared" si="0"/>
        <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7" t="s">
        <v>14</v>
      </c>
      <c r="B19" s="7" t="s">
        <v>15</v>
      </c>
      <c r="C19" s="7" t="s">
        <v>25</v>
      </c>
      <c r="D19" s="7" t="s">
        <v>16</v>
      </c>
      <c r="E19" s="7" t="s">
        <v>17</v>
      </c>
      <c r="F19" s="7" t="s">
        <v>18</v>
      </c>
      <c r="G19" s="34" t="s">
        <v>19</v>
      </c>
      <c r="H19" s="34"/>
    </row>
    <row r="20" spans="1:9" x14ac:dyDescent="0.25">
      <c r="A20" s="9">
        <f>IF(B20&lt;2,"n/a",(_xlfn.STDEV.S(H3:H17)))</f>
        <v>1512.8283644504138</v>
      </c>
      <c r="B20" s="9">
        <f>COUNT(H3:H17)</f>
        <v>8</v>
      </c>
      <c r="C20" s="10">
        <f>IF(B20&lt;2,"n/a",(A20/D20))</f>
        <v>1.5875878776069239</v>
      </c>
      <c r="D20" s="11">
        <f>IFERROR(ROUND(AVERAGE(H3:H17),2),"")</f>
        <v>952.91</v>
      </c>
      <c r="E20" s="16">
        <f>IFERROR(ROUND(IF(B20&lt;2,"n/a",(IF(C20&lt;=25%,"n/a",AVERAGE(I3:I17)))),2),"n/a")</f>
        <v>420.75</v>
      </c>
      <c r="F20" s="11">
        <f>IFERROR(ROUND(MEDIAN(H3:H17),2),"")</f>
        <v>444.46</v>
      </c>
      <c r="G20" s="12" t="str">
        <f>IFERROR(INDEX(G3:G17,MATCH(H20,H3:H17,0)),"")</f>
        <v>KABUM</v>
      </c>
      <c r="H20" s="13">
        <f>F3</f>
        <v>259.99</v>
      </c>
    </row>
    <row r="22" spans="1:9" x14ac:dyDescent="0.25">
      <c r="G22" s="14" t="s">
        <v>20</v>
      </c>
      <c r="H22" s="15">
        <f>IF(C20&lt;=25%,D20,MIN(E20:F20))</f>
        <v>420.75</v>
      </c>
    </row>
    <row r="23" spans="1:9" x14ac:dyDescent="0.25">
      <c r="G23" s="14" t="s">
        <v>6</v>
      </c>
      <c r="H23" s="15">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12" sqref="H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7" t="s">
        <v>1</v>
      </c>
      <c r="B2" s="7" t="s">
        <v>2</v>
      </c>
      <c r="C2" s="7" t="s">
        <v>3</v>
      </c>
      <c r="D2" s="7" t="s">
        <v>4</v>
      </c>
      <c r="E2" s="7" t="s">
        <v>9</v>
      </c>
      <c r="F2" s="7" t="s">
        <v>10</v>
      </c>
      <c r="G2" s="7" t="s">
        <v>11</v>
      </c>
      <c r="H2" s="7" t="s">
        <v>12</v>
      </c>
      <c r="I2" s="7" t="s">
        <v>13</v>
      </c>
    </row>
    <row r="3" spans="1:9" x14ac:dyDescent="0.25">
      <c r="A3" s="40">
        <v>18</v>
      </c>
      <c r="B3" s="36" t="s">
        <v>51</v>
      </c>
      <c r="C3" s="38" t="s">
        <v>7</v>
      </c>
      <c r="D3" s="38">
        <v>1</v>
      </c>
      <c r="E3" s="39">
        <f>IF(C20&lt;=25%,D20,MIN(E20:F20))</f>
        <v>93.27</v>
      </c>
      <c r="F3" s="39">
        <f>MIN(H3:H17)</f>
        <v>31.88</v>
      </c>
      <c r="G3" s="6" t="s">
        <v>151</v>
      </c>
      <c r="H3" s="17">
        <v>60</v>
      </c>
      <c r="I3" s="18">
        <f>IF(H3="","",(IF($C$20&lt;25%,"n/a",IF(H3&lt;=($D$20+$A$20),H3,"Descartado"))))</f>
        <v>60</v>
      </c>
    </row>
    <row r="4" spans="1:9" x14ac:dyDescent="0.25">
      <c r="A4" s="40"/>
      <c r="B4" s="37"/>
      <c r="C4" s="38"/>
      <c r="D4" s="38"/>
      <c r="E4" s="39"/>
      <c r="F4" s="39"/>
      <c r="G4" s="6" t="s">
        <v>152</v>
      </c>
      <c r="H4" s="17">
        <v>212.4</v>
      </c>
      <c r="I4" s="18">
        <f t="shared" ref="I4:I17" si="0">IF(H4="","",(IF($C$20&lt;25%,"n/a",IF(H4&lt;=($D$20+$A$20),H4,"Descartado"))))</f>
        <v>212.4</v>
      </c>
    </row>
    <row r="5" spans="1:9" x14ac:dyDescent="0.25">
      <c r="A5" s="40"/>
      <c r="B5" s="37"/>
      <c r="C5" s="38"/>
      <c r="D5" s="38"/>
      <c r="E5" s="39"/>
      <c r="F5" s="39"/>
      <c r="G5" s="6" t="s">
        <v>153</v>
      </c>
      <c r="H5" s="17">
        <v>34.99</v>
      </c>
      <c r="I5" s="18">
        <f t="shared" si="0"/>
        <v>34.99</v>
      </c>
    </row>
    <row r="6" spans="1:9" x14ac:dyDescent="0.25">
      <c r="A6" s="40"/>
      <c r="B6" s="37"/>
      <c r="C6" s="38"/>
      <c r="D6" s="38"/>
      <c r="E6" s="39"/>
      <c r="F6" s="39"/>
      <c r="G6" s="6" t="s">
        <v>154</v>
      </c>
      <c r="H6" s="17">
        <v>31.88</v>
      </c>
      <c r="I6" s="18">
        <f t="shared" si="0"/>
        <v>31.88</v>
      </c>
    </row>
    <row r="7" spans="1:9" x14ac:dyDescent="0.25">
      <c r="A7" s="40"/>
      <c r="B7" s="37"/>
      <c r="C7" s="38"/>
      <c r="D7" s="38"/>
      <c r="E7" s="39"/>
      <c r="F7" s="39"/>
      <c r="G7" s="6" t="s">
        <v>155</v>
      </c>
      <c r="H7" s="17">
        <v>157</v>
      </c>
      <c r="I7" s="18">
        <f t="shared" si="0"/>
        <v>157</v>
      </c>
    </row>
    <row r="8" spans="1:9" x14ac:dyDescent="0.25">
      <c r="A8" s="40"/>
      <c r="B8" s="37"/>
      <c r="C8" s="38"/>
      <c r="D8" s="38"/>
      <c r="E8" s="39"/>
      <c r="F8" s="39"/>
      <c r="G8" s="6" t="s">
        <v>156</v>
      </c>
      <c r="H8" s="17">
        <v>32.08</v>
      </c>
      <c r="I8" s="18">
        <f t="shared" si="0"/>
        <v>32.08</v>
      </c>
    </row>
    <row r="9" spans="1:9" x14ac:dyDescent="0.25">
      <c r="A9" s="40"/>
      <c r="B9" s="37"/>
      <c r="C9" s="38"/>
      <c r="D9" s="38"/>
      <c r="E9" s="39"/>
      <c r="F9" s="39"/>
      <c r="G9" s="6" t="s">
        <v>157</v>
      </c>
      <c r="H9" s="17">
        <v>625.9</v>
      </c>
      <c r="I9" s="18" t="str">
        <f t="shared" si="0"/>
        <v>Descartado</v>
      </c>
    </row>
    <row r="10" spans="1:9" x14ac:dyDescent="0.25">
      <c r="A10" s="40"/>
      <c r="B10" s="37"/>
      <c r="C10" s="38"/>
      <c r="D10" s="38"/>
      <c r="E10" s="39"/>
      <c r="F10" s="39"/>
      <c r="G10" s="6" t="s">
        <v>186</v>
      </c>
      <c r="H10" s="17">
        <v>115.87</v>
      </c>
      <c r="I10" s="18">
        <f t="shared" si="0"/>
        <v>115.87</v>
      </c>
    </row>
    <row r="11" spans="1:9" x14ac:dyDescent="0.25">
      <c r="A11" s="40"/>
      <c r="B11" s="37"/>
      <c r="C11" s="38"/>
      <c r="D11" s="38"/>
      <c r="E11" s="39"/>
      <c r="F11" s="39"/>
      <c r="G11" s="6" t="s">
        <v>192</v>
      </c>
      <c r="H11" s="17">
        <v>101.9</v>
      </c>
      <c r="I11" s="18">
        <f t="shared" si="0"/>
        <v>101.9</v>
      </c>
    </row>
    <row r="12" spans="1:9" x14ac:dyDescent="0.25">
      <c r="A12" s="40"/>
      <c r="B12" s="37"/>
      <c r="C12" s="38"/>
      <c r="D12" s="38"/>
      <c r="E12" s="39"/>
      <c r="F12" s="39"/>
      <c r="G12" s="6"/>
      <c r="H12" s="17"/>
      <c r="I12" s="18" t="str">
        <f t="shared" si="0"/>
        <v/>
      </c>
    </row>
    <row r="13" spans="1:9" x14ac:dyDescent="0.25">
      <c r="A13" s="40"/>
      <c r="B13" s="37"/>
      <c r="C13" s="38"/>
      <c r="D13" s="38"/>
      <c r="E13" s="39"/>
      <c r="F13" s="39"/>
      <c r="G13" s="6"/>
      <c r="H13" s="17"/>
      <c r="I13" s="18" t="str">
        <f t="shared" si="0"/>
        <v/>
      </c>
    </row>
    <row r="14" spans="1:9" x14ac:dyDescent="0.25">
      <c r="A14" s="40"/>
      <c r="B14" s="37"/>
      <c r="C14" s="38"/>
      <c r="D14" s="38"/>
      <c r="E14" s="39"/>
      <c r="F14" s="39"/>
      <c r="G14" s="6"/>
      <c r="H14" s="17"/>
      <c r="I14" s="18" t="str">
        <f t="shared" si="0"/>
        <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7" t="s">
        <v>14</v>
      </c>
      <c r="B19" s="7" t="s">
        <v>15</v>
      </c>
      <c r="C19" s="7" t="s">
        <v>25</v>
      </c>
      <c r="D19" s="7" t="s">
        <v>16</v>
      </c>
      <c r="E19" s="7" t="s">
        <v>17</v>
      </c>
      <c r="F19" s="7" t="s">
        <v>18</v>
      </c>
      <c r="G19" s="34" t="s">
        <v>19</v>
      </c>
      <c r="H19" s="34"/>
    </row>
    <row r="20" spans="1:9" x14ac:dyDescent="0.25">
      <c r="A20" s="9">
        <f>IF(B20&lt;2,"n/a",(_xlfn.STDEV.S(H3:H17)))</f>
        <v>188.09336850351744</v>
      </c>
      <c r="B20" s="9">
        <f>COUNT(H3:H17)</f>
        <v>9</v>
      </c>
      <c r="C20" s="10">
        <f>IF(B20&lt;2,"n/a",(A20/D20))</f>
        <v>1.233803663519301</v>
      </c>
      <c r="D20" s="11">
        <f>IFERROR(ROUND(AVERAGE(H3:H17),2),"")</f>
        <v>152.44999999999999</v>
      </c>
      <c r="E20" s="16">
        <f>IFERROR(ROUND(IF(B20&lt;2,"n/a",(IF(C20&lt;=25%,"n/a",AVERAGE(I3:I17)))),2),"n/a")</f>
        <v>93.27</v>
      </c>
      <c r="F20" s="11">
        <f>IFERROR(ROUND(MEDIAN(H3:H17),2),"")</f>
        <v>101.9</v>
      </c>
      <c r="G20" s="12" t="str">
        <f>IFERROR(INDEX(G3:G17,MATCH(H20,H3:H17,0)),"")</f>
        <v>46.543.079 MARA JULIO FACCION</v>
      </c>
      <c r="H20" s="13">
        <f>F3</f>
        <v>31.88</v>
      </c>
    </row>
    <row r="22" spans="1:9" x14ac:dyDescent="0.25">
      <c r="G22" s="14" t="s">
        <v>20</v>
      </c>
      <c r="H22" s="15">
        <f>IF(C20&lt;=25%,D20,MIN(E20:F20))</f>
        <v>93.27</v>
      </c>
    </row>
    <row r="23" spans="1:9" x14ac:dyDescent="0.25">
      <c r="G23" s="14" t="s">
        <v>6</v>
      </c>
      <c r="H23" s="15">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31"/>
  <sheetViews>
    <sheetView view="pageBreakPreview" zoomScaleNormal="100" zoomScaleSheetLayoutView="100" workbookViewId="0">
      <selection activeCell="G9" sqref="G9"/>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7" t="s">
        <v>1</v>
      </c>
      <c r="B2" s="7" t="s">
        <v>2</v>
      </c>
      <c r="C2" s="7" t="s">
        <v>3</v>
      </c>
      <c r="D2" s="7" t="s">
        <v>4</v>
      </c>
      <c r="E2" s="7" t="s">
        <v>9</v>
      </c>
      <c r="F2" s="7" t="s">
        <v>10</v>
      </c>
      <c r="G2" s="7" t="s">
        <v>11</v>
      </c>
      <c r="H2" s="7" t="s">
        <v>12</v>
      </c>
      <c r="I2" s="7" t="s">
        <v>13</v>
      </c>
    </row>
    <row r="3" spans="1:9" x14ac:dyDescent="0.25">
      <c r="A3" s="40">
        <v>19</v>
      </c>
      <c r="B3" s="36" t="s">
        <v>52</v>
      </c>
      <c r="C3" s="38" t="s">
        <v>7</v>
      </c>
      <c r="D3" s="38">
        <v>2</v>
      </c>
      <c r="E3" s="39">
        <f>IF(C20&lt;=25%,D20,MIN(E20:F20))</f>
        <v>741.85</v>
      </c>
      <c r="F3" s="39">
        <f>MIN(H3:H17)</f>
        <v>569.99</v>
      </c>
      <c r="G3" s="6" t="s">
        <v>186</v>
      </c>
      <c r="H3" s="17">
        <v>1096.79</v>
      </c>
      <c r="I3" s="18" t="str">
        <f>IF(H3="","",(IF($C$20&lt;25%,"n/a",IF(H3&lt;=($D$20+$A$20),H3,"Descartado"))))</f>
        <v>Descartado</v>
      </c>
    </row>
    <row r="4" spans="1:9" x14ac:dyDescent="0.25">
      <c r="A4" s="40"/>
      <c r="B4" s="37"/>
      <c r="C4" s="38"/>
      <c r="D4" s="38"/>
      <c r="E4" s="39"/>
      <c r="F4" s="39"/>
      <c r="G4" s="6" t="s">
        <v>179</v>
      </c>
      <c r="H4" s="17">
        <v>998.9</v>
      </c>
      <c r="I4" s="18">
        <f t="shared" ref="I4:I17" si="0">IF(H4="","",(IF($C$20&lt;25%,"n/a",IF(H4&lt;=($D$20+$A$20),H4,"Descartado"))))</f>
        <v>998.9</v>
      </c>
    </row>
    <row r="5" spans="1:9" x14ac:dyDescent="0.25">
      <c r="A5" s="40"/>
      <c r="B5" s="37"/>
      <c r="C5" s="38"/>
      <c r="D5" s="38"/>
      <c r="E5" s="39"/>
      <c r="F5" s="39"/>
      <c r="G5" s="6" t="s">
        <v>193</v>
      </c>
      <c r="H5" s="17">
        <v>569.99</v>
      </c>
      <c r="I5" s="18">
        <f t="shared" si="0"/>
        <v>569.99</v>
      </c>
    </row>
    <row r="6" spans="1:9" x14ac:dyDescent="0.25">
      <c r="A6" s="40"/>
      <c r="B6" s="37"/>
      <c r="C6" s="38"/>
      <c r="D6" s="38"/>
      <c r="E6" s="39"/>
      <c r="F6" s="39"/>
      <c r="G6" s="6" t="s">
        <v>194</v>
      </c>
      <c r="H6" s="17">
        <v>599</v>
      </c>
      <c r="I6" s="18">
        <f t="shared" si="0"/>
        <v>599</v>
      </c>
    </row>
    <row r="7" spans="1:9" x14ac:dyDescent="0.25">
      <c r="A7" s="40"/>
      <c r="B7" s="37"/>
      <c r="C7" s="38"/>
      <c r="D7" s="38"/>
      <c r="E7" s="39"/>
      <c r="F7" s="39"/>
      <c r="G7" s="6" t="s">
        <v>195</v>
      </c>
      <c r="H7" s="17">
        <v>799.49</v>
      </c>
      <c r="I7" s="18">
        <f t="shared" si="0"/>
        <v>799.49</v>
      </c>
    </row>
    <row r="8" spans="1:9" x14ac:dyDescent="0.25">
      <c r="A8" s="40"/>
      <c r="B8" s="37"/>
      <c r="C8" s="38"/>
      <c r="D8" s="38"/>
      <c r="E8" s="39"/>
      <c r="F8" s="39"/>
      <c r="G8" s="6"/>
      <c r="H8" s="17"/>
      <c r="I8" s="18" t="str">
        <f t="shared" si="0"/>
        <v/>
      </c>
    </row>
    <row r="9" spans="1:9" x14ac:dyDescent="0.25">
      <c r="A9" s="40"/>
      <c r="B9" s="37"/>
      <c r="C9" s="38"/>
      <c r="D9" s="38"/>
      <c r="E9" s="39"/>
      <c r="F9" s="39"/>
      <c r="G9" s="6"/>
      <c r="H9" s="17"/>
      <c r="I9" s="18" t="str">
        <f t="shared" si="0"/>
        <v/>
      </c>
    </row>
    <row r="10" spans="1:9" x14ac:dyDescent="0.25">
      <c r="A10" s="40"/>
      <c r="B10" s="37"/>
      <c r="C10" s="38"/>
      <c r="D10" s="38"/>
      <c r="E10" s="39"/>
      <c r="F10" s="39"/>
      <c r="G10" s="6"/>
      <c r="H10" s="17"/>
      <c r="I10" s="18" t="str">
        <f t="shared" si="0"/>
        <v/>
      </c>
    </row>
    <row r="11" spans="1:9" x14ac:dyDescent="0.25">
      <c r="A11" s="40"/>
      <c r="B11" s="37"/>
      <c r="C11" s="38"/>
      <c r="D11" s="38"/>
      <c r="E11" s="39"/>
      <c r="F11" s="39"/>
      <c r="G11" s="6"/>
      <c r="H11" s="17"/>
      <c r="I11" s="18" t="str">
        <f t="shared" si="0"/>
        <v/>
      </c>
    </row>
    <row r="12" spans="1:9" x14ac:dyDescent="0.25">
      <c r="A12" s="40"/>
      <c r="B12" s="37"/>
      <c r="C12" s="38"/>
      <c r="D12" s="38"/>
      <c r="E12" s="39"/>
      <c r="F12" s="39"/>
      <c r="G12" s="6"/>
      <c r="H12" s="17"/>
      <c r="I12" s="18" t="str">
        <f t="shared" si="0"/>
        <v/>
      </c>
    </row>
    <row r="13" spans="1:9" x14ac:dyDescent="0.25">
      <c r="A13" s="40"/>
      <c r="B13" s="37"/>
      <c r="C13" s="38"/>
      <c r="D13" s="38"/>
      <c r="E13" s="39"/>
      <c r="F13" s="39"/>
      <c r="G13" s="6"/>
      <c r="H13" s="17"/>
      <c r="I13" s="18" t="str">
        <f t="shared" si="0"/>
        <v/>
      </c>
    </row>
    <row r="14" spans="1:9" x14ac:dyDescent="0.25">
      <c r="A14" s="40"/>
      <c r="B14" s="37"/>
      <c r="C14" s="38"/>
      <c r="D14" s="38"/>
      <c r="E14" s="39"/>
      <c r="F14" s="39"/>
      <c r="G14" s="6"/>
      <c r="H14" s="17"/>
      <c r="I14" s="18" t="str">
        <f t="shared" si="0"/>
        <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7" t="s">
        <v>14</v>
      </c>
      <c r="B19" s="7" t="s">
        <v>15</v>
      </c>
      <c r="C19" s="7" t="s">
        <v>25</v>
      </c>
      <c r="D19" s="7" t="s">
        <v>16</v>
      </c>
      <c r="E19" s="7" t="s">
        <v>17</v>
      </c>
      <c r="F19" s="7" t="s">
        <v>18</v>
      </c>
      <c r="G19" s="34" t="s">
        <v>19</v>
      </c>
      <c r="H19" s="34"/>
    </row>
    <row r="20" spans="1:9" x14ac:dyDescent="0.25">
      <c r="A20" s="9">
        <f>IF(B20&lt;2,"n/a",(_xlfn.STDEV.S(H3:H17)))</f>
        <v>234.58890453301464</v>
      </c>
      <c r="B20" s="9">
        <f>COUNT(H3:H17)</f>
        <v>5</v>
      </c>
      <c r="C20" s="10">
        <f>IF(B20&lt;2,"n/a",(A20/D20))</f>
        <v>0.28860758649780965</v>
      </c>
      <c r="D20" s="11">
        <f>IFERROR(ROUND(AVERAGE(H3:H17),2),"")</f>
        <v>812.83</v>
      </c>
      <c r="E20" s="16">
        <f>IFERROR(ROUND(IF(B20&lt;2,"n/a",(IF(C20&lt;=25%,"n/a",AVERAGE(I3:I17)))),2),"n/a")</f>
        <v>741.85</v>
      </c>
      <c r="F20" s="11">
        <f>IFERROR(ROUND(MEDIAN(H3:H17),2),"")</f>
        <v>799.49</v>
      </c>
      <c r="G20" s="12" t="str">
        <f>IFERROR(INDEX(G3:G17,MATCH(H20,H3:H17,0)),"")</f>
        <v>RCK AUDIO</v>
      </c>
      <c r="H20" s="13">
        <f>F3</f>
        <v>569.99</v>
      </c>
    </row>
    <row r="22" spans="1:9" x14ac:dyDescent="0.25">
      <c r="G22" s="14" t="s">
        <v>20</v>
      </c>
      <c r="H22" s="15">
        <f>IF(C20&lt;=25%,D20,MIN(E20:F20))</f>
        <v>741.85</v>
      </c>
    </row>
    <row r="23" spans="1:9" x14ac:dyDescent="0.25">
      <c r="G23" s="14" t="s">
        <v>6</v>
      </c>
      <c r="H23" s="15">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8" sqref="G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7" t="s">
        <v>1</v>
      </c>
      <c r="B2" s="7" t="s">
        <v>2</v>
      </c>
      <c r="C2" s="7" t="s">
        <v>3</v>
      </c>
      <c r="D2" s="7" t="s">
        <v>4</v>
      </c>
      <c r="E2" s="7" t="s">
        <v>9</v>
      </c>
      <c r="F2" s="7" t="s">
        <v>10</v>
      </c>
      <c r="G2" s="7" t="s">
        <v>11</v>
      </c>
      <c r="H2" s="7" t="s">
        <v>12</v>
      </c>
      <c r="I2" s="7" t="s">
        <v>13</v>
      </c>
    </row>
    <row r="3" spans="1:9" x14ac:dyDescent="0.25">
      <c r="A3" s="40">
        <v>2</v>
      </c>
      <c r="B3" s="36" t="s">
        <v>35</v>
      </c>
      <c r="C3" s="38" t="s">
        <v>7</v>
      </c>
      <c r="D3" s="38">
        <v>2</v>
      </c>
      <c r="E3" s="39">
        <f>IF(C20&lt;=25%,D20,MIN(E20:F20))</f>
        <v>1669.25</v>
      </c>
      <c r="F3" s="39">
        <f>MIN(H3:H17)</f>
        <v>285</v>
      </c>
      <c r="G3" s="6" t="s">
        <v>69</v>
      </c>
      <c r="H3" s="17">
        <v>2480</v>
      </c>
      <c r="I3" s="18">
        <f>IF(H3="","",(IF($C$20&lt;25%,"n/a",IF(H3&lt;=($D$20+$A$20),H3,"Descartado"))))</f>
        <v>2480</v>
      </c>
    </row>
    <row r="4" spans="1:9" x14ac:dyDescent="0.25">
      <c r="A4" s="40"/>
      <c r="B4" s="37"/>
      <c r="C4" s="38"/>
      <c r="D4" s="38"/>
      <c r="E4" s="39"/>
      <c r="F4" s="39"/>
      <c r="G4" s="6" t="s">
        <v>70</v>
      </c>
      <c r="H4" s="17">
        <v>616</v>
      </c>
      <c r="I4" s="18">
        <f t="shared" ref="I4:I17" si="0">IF(H4="","",(IF($C$20&lt;25%,"n/a",IF(H4&lt;=($D$20+$A$20),H4,"Descartado"))))</f>
        <v>616</v>
      </c>
    </row>
    <row r="5" spans="1:9" x14ac:dyDescent="0.25">
      <c r="A5" s="40"/>
      <c r="B5" s="37"/>
      <c r="C5" s="38"/>
      <c r="D5" s="38"/>
      <c r="E5" s="39"/>
      <c r="F5" s="39"/>
      <c r="G5" s="6" t="s">
        <v>71</v>
      </c>
      <c r="H5" s="17">
        <v>7900</v>
      </c>
      <c r="I5" s="18" t="str">
        <f t="shared" si="0"/>
        <v>Descartado</v>
      </c>
    </row>
    <row r="6" spans="1:9" x14ac:dyDescent="0.25">
      <c r="A6" s="40"/>
      <c r="B6" s="37"/>
      <c r="C6" s="38"/>
      <c r="D6" s="38"/>
      <c r="E6" s="39"/>
      <c r="F6" s="39"/>
      <c r="G6" s="6" t="s">
        <v>72</v>
      </c>
      <c r="H6" s="17">
        <v>285</v>
      </c>
      <c r="I6" s="18">
        <f t="shared" si="0"/>
        <v>285</v>
      </c>
    </row>
    <row r="7" spans="1:9" x14ac:dyDescent="0.25">
      <c r="A7" s="40"/>
      <c r="B7" s="37"/>
      <c r="C7" s="38"/>
      <c r="D7" s="38"/>
      <c r="E7" s="39"/>
      <c r="F7" s="39"/>
      <c r="G7" s="6" t="s">
        <v>73</v>
      </c>
      <c r="H7" s="17">
        <v>4600</v>
      </c>
      <c r="I7" s="18">
        <f t="shared" si="0"/>
        <v>4600</v>
      </c>
    </row>
    <row r="8" spans="1:9" x14ac:dyDescent="0.25">
      <c r="A8" s="40"/>
      <c r="B8" s="37"/>
      <c r="C8" s="38"/>
      <c r="D8" s="38"/>
      <c r="E8" s="39"/>
      <c r="F8" s="39"/>
      <c r="G8" s="6" t="s">
        <v>178</v>
      </c>
      <c r="H8" s="17">
        <v>1669.25</v>
      </c>
      <c r="I8" s="18">
        <f t="shared" si="0"/>
        <v>1669.25</v>
      </c>
    </row>
    <row r="9" spans="1:9" x14ac:dyDescent="0.25">
      <c r="A9" s="40"/>
      <c r="B9" s="37"/>
      <c r="C9" s="38"/>
      <c r="D9" s="38"/>
      <c r="E9" s="39"/>
      <c r="F9" s="39"/>
      <c r="G9" s="6" t="s">
        <v>179</v>
      </c>
      <c r="H9" s="17">
        <v>679.9</v>
      </c>
      <c r="I9" s="18">
        <f t="shared" si="0"/>
        <v>679.9</v>
      </c>
    </row>
    <row r="10" spans="1:9" x14ac:dyDescent="0.25">
      <c r="A10" s="40"/>
      <c r="B10" s="37"/>
      <c r="C10" s="38"/>
      <c r="D10" s="38"/>
      <c r="E10" s="39"/>
      <c r="F10" s="39"/>
      <c r="G10" s="6"/>
      <c r="H10" s="17"/>
      <c r="I10" s="18" t="str">
        <f t="shared" si="0"/>
        <v/>
      </c>
    </row>
    <row r="11" spans="1:9" x14ac:dyDescent="0.25">
      <c r="A11" s="40"/>
      <c r="B11" s="37"/>
      <c r="C11" s="38"/>
      <c r="D11" s="38"/>
      <c r="E11" s="39"/>
      <c r="F11" s="39"/>
      <c r="G11" s="6"/>
      <c r="H11" s="17"/>
      <c r="I11" s="18" t="str">
        <f t="shared" si="0"/>
        <v/>
      </c>
    </row>
    <row r="12" spans="1:9" x14ac:dyDescent="0.25">
      <c r="A12" s="40"/>
      <c r="B12" s="37"/>
      <c r="C12" s="38"/>
      <c r="D12" s="38"/>
      <c r="E12" s="39"/>
      <c r="F12" s="39"/>
      <c r="G12" s="6"/>
      <c r="H12" s="17"/>
      <c r="I12" s="18" t="str">
        <f t="shared" si="0"/>
        <v/>
      </c>
    </row>
    <row r="13" spans="1:9" x14ac:dyDescent="0.25">
      <c r="A13" s="40"/>
      <c r="B13" s="37"/>
      <c r="C13" s="38"/>
      <c r="D13" s="38"/>
      <c r="E13" s="39"/>
      <c r="F13" s="39"/>
      <c r="G13" s="6"/>
      <c r="H13" s="17"/>
      <c r="I13" s="18" t="str">
        <f t="shared" si="0"/>
        <v/>
      </c>
    </row>
    <row r="14" spans="1:9" x14ac:dyDescent="0.25">
      <c r="A14" s="40"/>
      <c r="B14" s="37"/>
      <c r="C14" s="38"/>
      <c r="D14" s="38"/>
      <c r="E14" s="39"/>
      <c r="F14" s="39"/>
      <c r="G14" s="6"/>
      <c r="H14" s="17"/>
      <c r="I14" s="18" t="str">
        <f t="shared" si="0"/>
        <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7" t="s">
        <v>14</v>
      </c>
      <c r="B19" s="7" t="s">
        <v>15</v>
      </c>
      <c r="C19" s="7" t="s">
        <v>25</v>
      </c>
      <c r="D19" s="7" t="s">
        <v>16</v>
      </c>
      <c r="E19" s="7" t="s">
        <v>17</v>
      </c>
      <c r="F19" s="7" t="s">
        <v>18</v>
      </c>
      <c r="G19" s="34" t="s">
        <v>19</v>
      </c>
      <c r="H19" s="34"/>
    </row>
    <row r="20" spans="1:9" x14ac:dyDescent="0.25">
      <c r="A20" s="9">
        <f>IF(B20&lt;2,"n/a",(_xlfn.STDEV.S(H3:H17)))</f>
        <v>2767.4546281177722</v>
      </c>
      <c r="B20" s="9">
        <f>COUNT(H3:H17)</f>
        <v>7</v>
      </c>
      <c r="C20" s="10">
        <f>IF(B20&lt;2,"n/a",(A20/D20))</f>
        <v>1.0626440892665514</v>
      </c>
      <c r="D20" s="11">
        <f>IFERROR(ROUND(AVERAGE(H3:H17),2),"")</f>
        <v>2604.31</v>
      </c>
      <c r="E20" s="16">
        <f>IFERROR(ROUND(IF(B20&lt;2,"n/a",(IF(C20&lt;=25%,"n/a",AVERAGE(I3:I17)))),2),"n/a")</f>
        <v>1721.69</v>
      </c>
      <c r="F20" s="11">
        <f>IFERROR(ROUND(MEDIAN(H3:H17),2),"")</f>
        <v>1669.25</v>
      </c>
      <c r="G20" s="12" t="str">
        <f>IFERROR(INDEX(G3:G17,MATCH(H20,H3:H17,0)),"")</f>
        <v>PEDRO DIAS FERREIRA JUNIOR</v>
      </c>
      <c r="H20" s="13">
        <f>F3</f>
        <v>285</v>
      </c>
    </row>
    <row r="22" spans="1:9" x14ac:dyDescent="0.25">
      <c r="G22" s="14" t="s">
        <v>20</v>
      </c>
      <c r="H22" s="15">
        <f>IF(C20&lt;=25%,D20,MIN(E20:F20))</f>
        <v>1669.25</v>
      </c>
    </row>
    <row r="23" spans="1:9" x14ac:dyDescent="0.25">
      <c r="G23" s="14" t="s">
        <v>6</v>
      </c>
      <c r="H23" s="15">
        <f>ROUND(H22,2)*D3</f>
        <v>3338.5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31"/>
  <sheetViews>
    <sheetView view="pageBreakPreview" zoomScaleNormal="100" zoomScaleSheetLayoutView="100" workbookViewId="0">
      <selection activeCell="H7" sqref="H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7" t="s">
        <v>1</v>
      </c>
      <c r="B2" s="7" t="s">
        <v>2</v>
      </c>
      <c r="C2" s="7" t="s">
        <v>3</v>
      </c>
      <c r="D2" s="7" t="s">
        <v>4</v>
      </c>
      <c r="E2" s="7" t="s">
        <v>9</v>
      </c>
      <c r="F2" s="7" t="s">
        <v>10</v>
      </c>
      <c r="G2" s="7" t="s">
        <v>11</v>
      </c>
      <c r="H2" s="7" t="s">
        <v>12</v>
      </c>
      <c r="I2" s="7" t="s">
        <v>13</v>
      </c>
    </row>
    <row r="3" spans="1:9" x14ac:dyDescent="0.25">
      <c r="A3" s="40">
        <v>20</v>
      </c>
      <c r="B3" s="36" t="s">
        <v>53</v>
      </c>
      <c r="C3" s="38" t="s">
        <v>7</v>
      </c>
      <c r="D3" s="38">
        <v>8</v>
      </c>
      <c r="E3" s="39">
        <f>IF(C20&lt;=25%,D20,MIN(E20:F20))</f>
        <v>1288.28</v>
      </c>
      <c r="F3" s="39">
        <f>MIN(H3:H17)</f>
        <v>990</v>
      </c>
      <c r="G3" s="6" t="s">
        <v>196</v>
      </c>
      <c r="H3" s="17">
        <v>990</v>
      </c>
      <c r="I3" s="18" t="str">
        <f>IF(H3="","",(IF($C$20&lt;25%,"n/a",IF(H3&lt;=($D$20+$A$20),H3,"Descartado"))))</f>
        <v>n/a</v>
      </c>
    </row>
    <row r="4" spans="1:9" x14ac:dyDescent="0.25">
      <c r="A4" s="40"/>
      <c r="B4" s="37"/>
      <c r="C4" s="38"/>
      <c r="D4" s="38"/>
      <c r="E4" s="39"/>
      <c r="F4" s="39"/>
      <c r="G4" s="6" t="s">
        <v>197</v>
      </c>
      <c r="H4" s="17">
        <v>1399</v>
      </c>
      <c r="I4" s="18" t="str">
        <f t="shared" ref="I4:I17" si="0">IF(H4="","",(IF($C$20&lt;25%,"n/a",IF(H4&lt;=($D$20+$A$20),H4,"Descartado"))))</f>
        <v>n/a</v>
      </c>
    </row>
    <row r="5" spans="1:9" x14ac:dyDescent="0.25">
      <c r="A5" s="40"/>
      <c r="B5" s="37"/>
      <c r="C5" s="38"/>
      <c r="D5" s="38"/>
      <c r="E5" s="39"/>
      <c r="F5" s="39"/>
      <c r="G5" s="6" t="s">
        <v>198</v>
      </c>
      <c r="H5" s="17">
        <v>1265.0999999999999</v>
      </c>
      <c r="I5" s="18" t="str">
        <f t="shared" si="0"/>
        <v>n/a</v>
      </c>
    </row>
    <row r="6" spans="1:9" x14ac:dyDescent="0.25">
      <c r="A6" s="40"/>
      <c r="B6" s="37"/>
      <c r="C6" s="38"/>
      <c r="D6" s="38"/>
      <c r="E6" s="39"/>
      <c r="F6" s="39"/>
      <c r="G6" s="6" t="s">
        <v>199</v>
      </c>
      <c r="H6" s="17">
        <v>1499</v>
      </c>
      <c r="I6" s="18" t="str">
        <f t="shared" si="0"/>
        <v>n/a</v>
      </c>
    </row>
    <row r="7" spans="1:9" x14ac:dyDescent="0.25">
      <c r="A7" s="40"/>
      <c r="B7" s="37"/>
      <c r="C7" s="38"/>
      <c r="D7" s="38"/>
      <c r="E7" s="39"/>
      <c r="F7" s="39"/>
      <c r="G7" s="6"/>
      <c r="H7" s="17"/>
      <c r="I7" s="18" t="str">
        <f t="shared" si="0"/>
        <v/>
      </c>
    </row>
    <row r="8" spans="1:9" x14ac:dyDescent="0.25">
      <c r="A8" s="40"/>
      <c r="B8" s="37"/>
      <c r="C8" s="38"/>
      <c r="D8" s="38"/>
      <c r="E8" s="39"/>
      <c r="F8" s="39"/>
      <c r="G8" s="6"/>
      <c r="H8" s="17"/>
      <c r="I8" s="18" t="str">
        <f t="shared" si="0"/>
        <v/>
      </c>
    </row>
    <row r="9" spans="1:9" x14ac:dyDescent="0.25">
      <c r="A9" s="40"/>
      <c r="B9" s="37"/>
      <c r="C9" s="38"/>
      <c r="D9" s="38"/>
      <c r="E9" s="39"/>
      <c r="F9" s="39"/>
      <c r="G9" s="6"/>
      <c r="H9" s="17"/>
      <c r="I9" s="18" t="str">
        <f t="shared" si="0"/>
        <v/>
      </c>
    </row>
    <row r="10" spans="1:9" x14ac:dyDescent="0.25">
      <c r="A10" s="40"/>
      <c r="B10" s="37"/>
      <c r="C10" s="38"/>
      <c r="D10" s="38"/>
      <c r="E10" s="39"/>
      <c r="F10" s="39"/>
      <c r="G10" s="6"/>
      <c r="H10" s="17"/>
      <c r="I10" s="18" t="str">
        <f t="shared" si="0"/>
        <v/>
      </c>
    </row>
    <row r="11" spans="1:9" x14ac:dyDescent="0.25">
      <c r="A11" s="40"/>
      <c r="B11" s="37"/>
      <c r="C11" s="38"/>
      <c r="D11" s="38"/>
      <c r="E11" s="39"/>
      <c r="F11" s="39"/>
      <c r="G11" s="6"/>
      <c r="H11" s="17"/>
      <c r="I11" s="18" t="str">
        <f t="shared" si="0"/>
        <v/>
      </c>
    </row>
    <row r="12" spans="1:9" x14ac:dyDescent="0.25">
      <c r="A12" s="40"/>
      <c r="B12" s="37"/>
      <c r="C12" s="38"/>
      <c r="D12" s="38"/>
      <c r="E12" s="39"/>
      <c r="F12" s="39"/>
      <c r="G12" s="6"/>
      <c r="H12" s="17"/>
      <c r="I12" s="18" t="str">
        <f t="shared" si="0"/>
        <v/>
      </c>
    </row>
    <row r="13" spans="1:9" x14ac:dyDescent="0.25">
      <c r="A13" s="40"/>
      <c r="B13" s="37"/>
      <c r="C13" s="38"/>
      <c r="D13" s="38"/>
      <c r="E13" s="39"/>
      <c r="F13" s="39"/>
      <c r="G13" s="6"/>
      <c r="H13" s="17"/>
      <c r="I13" s="18" t="str">
        <f t="shared" si="0"/>
        <v/>
      </c>
    </row>
    <row r="14" spans="1:9" x14ac:dyDescent="0.25">
      <c r="A14" s="40"/>
      <c r="B14" s="37"/>
      <c r="C14" s="38"/>
      <c r="D14" s="38"/>
      <c r="E14" s="39"/>
      <c r="F14" s="39"/>
      <c r="G14" s="6"/>
      <c r="H14" s="17"/>
      <c r="I14" s="18" t="str">
        <f t="shared" si="0"/>
        <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7" t="s">
        <v>14</v>
      </c>
      <c r="B19" s="7" t="s">
        <v>15</v>
      </c>
      <c r="C19" s="7" t="s">
        <v>25</v>
      </c>
      <c r="D19" s="7" t="s">
        <v>16</v>
      </c>
      <c r="E19" s="7" t="s">
        <v>17</v>
      </c>
      <c r="F19" s="7" t="s">
        <v>18</v>
      </c>
      <c r="G19" s="34" t="s">
        <v>19</v>
      </c>
      <c r="H19" s="34"/>
    </row>
    <row r="20" spans="1:9" x14ac:dyDescent="0.25">
      <c r="A20" s="9">
        <f>IF(B20&lt;2,"n/a",(_xlfn.STDEV.S(H3:H17)))</f>
        <v>220.7337064579543</v>
      </c>
      <c r="B20" s="9">
        <f>COUNT(H3:H17)</f>
        <v>4</v>
      </c>
      <c r="C20" s="10">
        <f>IF(B20&lt;2,"n/a",(A20/D20))</f>
        <v>0.17133985349299399</v>
      </c>
      <c r="D20" s="11">
        <f>IFERROR(ROUND(AVERAGE(H3:H17),2),"")</f>
        <v>1288.28</v>
      </c>
      <c r="E20" s="16" t="str">
        <f>IFERROR(ROUND(IF(B20&lt;2,"n/a",(IF(C20&lt;=25%,"n/a",AVERAGE(I3:I17)))),2),"n/a")</f>
        <v>n/a</v>
      </c>
      <c r="F20" s="11">
        <f>IFERROR(ROUND(MEDIAN(H3:H17),2),"")</f>
        <v>1332.05</v>
      </c>
      <c r="G20" s="12" t="str">
        <f>IFERROR(INDEX(G3:G17,MATCH(H20,H3:H17,0)),"")</f>
        <v>BELLA PHOTO</v>
      </c>
      <c r="H20" s="13">
        <f>F3</f>
        <v>990</v>
      </c>
    </row>
    <row r="22" spans="1:9" x14ac:dyDescent="0.25">
      <c r="G22" s="14" t="s">
        <v>20</v>
      </c>
      <c r="H22" s="15">
        <f>IF(C20&lt;=25%,D20,MIN(E20:F20))</f>
        <v>1288.28</v>
      </c>
    </row>
    <row r="23" spans="1:9" x14ac:dyDescent="0.25">
      <c r="G23" s="14" t="s">
        <v>6</v>
      </c>
      <c r="H23" s="15">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15" sqref="H15"/>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8" t="s">
        <v>1</v>
      </c>
      <c r="B2" s="8" t="s">
        <v>2</v>
      </c>
      <c r="C2" s="8" t="s">
        <v>3</v>
      </c>
      <c r="D2" s="8" t="s">
        <v>4</v>
      </c>
      <c r="E2" s="8" t="s">
        <v>9</v>
      </c>
      <c r="F2" s="8" t="s">
        <v>10</v>
      </c>
      <c r="G2" s="8" t="s">
        <v>11</v>
      </c>
      <c r="H2" s="8" t="s">
        <v>12</v>
      </c>
      <c r="I2" s="8" t="s">
        <v>13</v>
      </c>
    </row>
    <row r="3" spans="1:9" x14ac:dyDescent="0.25">
      <c r="A3" s="40">
        <v>21</v>
      </c>
      <c r="B3" s="36" t="s">
        <v>54</v>
      </c>
      <c r="C3" s="38" t="s">
        <v>7</v>
      </c>
      <c r="D3" s="38">
        <v>2</v>
      </c>
      <c r="E3" s="39">
        <f>IF(C20&lt;=25%,D20,MIN(E20:F20))</f>
        <v>454.84</v>
      </c>
      <c r="F3" s="39">
        <f>MIN(H3:H17)</f>
        <v>136</v>
      </c>
      <c r="G3" s="6" t="s">
        <v>158</v>
      </c>
      <c r="H3" s="17">
        <v>136</v>
      </c>
      <c r="I3" s="18">
        <f>IF(H3="","",(IF($C$20&lt;25%,"n/a",IF(H3&lt;=($D$20+$A$20),H3,"Descartado"))))</f>
        <v>136</v>
      </c>
    </row>
    <row r="4" spans="1:9" x14ac:dyDescent="0.25">
      <c r="A4" s="40"/>
      <c r="B4" s="37"/>
      <c r="C4" s="38"/>
      <c r="D4" s="38"/>
      <c r="E4" s="39"/>
      <c r="F4" s="39"/>
      <c r="G4" s="6" t="s">
        <v>159</v>
      </c>
      <c r="H4" s="17">
        <v>200</v>
      </c>
      <c r="I4" s="18">
        <f t="shared" ref="I4:I17" si="0">IF(H4="","",(IF($C$20&lt;25%,"n/a",IF(H4&lt;=($D$20+$A$20),H4,"Descartado"))))</f>
        <v>200</v>
      </c>
    </row>
    <row r="5" spans="1:9" x14ac:dyDescent="0.25">
      <c r="A5" s="40"/>
      <c r="B5" s="37"/>
      <c r="C5" s="38"/>
      <c r="D5" s="38"/>
      <c r="E5" s="39"/>
      <c r="F5" s="39"/>
      <c r="G5" s="6" t="s">
        <v>160</v>
      </c>
      <c r="H5" s="17">
        <v>300.99</v>
      </c>
      <c r="I5" s="18">
        <f t="shared" si="0"/>
        <v>300.99</v>
      </c>
    </row>
    <row r="6" spans="1:9" x14ac:dyDescent="0.25">
      <c r="A6" s="40"/>
      <c r="B6" s="37"/>
      <c r="C6" s="38"/>
      <c r="D6" s="38"/>
      <c r="E6" s="39"/>
      <c r="F6" s="39"/>
      <c r="G6" s="6" t="s">
        <v>161</v>
      </c>
      <c r="H6" s="17">
        <v>455</v>
      </c>
      <c r="I6" s="18">
        <f t="shared" si="0"/>
        <v>455</v>
      </c>
    </row>
    <row r="7" spans="1:9" x14ac:dyDescent="0.25">
      <c r="A7" s="40"/>
      <c r="B7" s="37"/>
      <c r="C7" s="38"/>
      <c r="D7" s="38"/>
      <c r="E7" s="39"/>
      <c r="F7" s="39"/>
      <c r="G7" s="6" t="s">
        <v>86</v>
      </c>
      <c r="H7" s="17">
        <v>554</v>
      </c>
      <c r="I7" s="18">
        <f t="shared" si="0"/>
        <v>554</v>
      </c>
    </row>
    <row r="8" spans="1:9" x14ac:dyDescent="0.25">
      <c r="A8" s="40"/>
      <c r="B8" s="37"/>
      <c r="C8" s="38"/>
      <c r="D8" s="38"/>
      <c r="E8" s="39"/>
      <c r="F8" s="39"/>
      <c r="G8" s="6" t="s">
        <v>141</v>
      </c>
      <c r="H8" s="17">
        <v>650.94000000000005</v>
      </c>
      <c r="I8" s="18">
        <f t="shared" si="0"/>
        <v>650.94000000000005</v>
      </c>
    </row>
    <row r="9" spans="1:9" x14ac:dyDescent="0.25">
      <c r="A9" s="40"/>
      <c r="B9" s="37"/>
      <c r="C9" s="38"/>
      <c r="D9" s="38"/>
      <c r="E9" s="39"/>
      <c r="F9" s="39"/>
      <c r="G9" s="6" t="s">
        <v>162</v>
      </c>
      <c r="H9" s="17">
        <v>683.75</v>
      </c>
      <c r="I9" s="18">
        <f t="shared" si="0"/>
        <v>683.75</v>
      </c>
    </row>
    <row r="10" spans="1:9" x14ac:dyDescent="0.25">
      <c r="A10" s="40"/>
      <c r="B10" s="37"/>
      <c r="C10" s="38"/>
      <c r="D10" s="38"/>
      <c r="E10" s="39"/>
      <c r="F10" s="39"/>
      <c r="G10" s="6" t="s">
        <v>163</v>
      </c>
      <c r="H10" s="17">
        <v>687</v>
      </c>
      <c r="I10" s="18">
        <f t="shared" si="0"/>
        <v>687</v>
      </c>
    </row>
    <row r="11" spans="1:9" x14ac:dyDescent="0.25">
      <c r="A11" s="40"/>
      <c r="B11" s="37"/>
      <c r="C11" s="38"/>
      <c r="D11" s="38"/>
      <c r="E11" s="39"/>
      <c r="F11" s="39"/>
      <c r="G11" s="6" t="s">
        <v>200</v>
      </c>
      <c r="H11" s="17">
        <v>565.11</v>
      </c>
      <c r="I11" s="18">
        <f t="shared" si="0"/>
        <v>565.11</v>
      </c>
    </row>
    <row r="12" spans="1:9" x14ac:dyDescent="0.25">
      <c r="A12" s="40"/>
      <c r="B12" s="37"/>
      <c r="C12" s="38"/>
      <c r="D12" s="38"/>
      <c r="E12" s="39"/>
      <c r="F12" s="39"/>
      <c r="G12" s="6" t="s">
        <v>176</v>
      </c>
      <c r="H12" s="17">
        <v>750</v>
      </c>
      <c r="I12" s="18" t="str">
        <f t="shared" si="0"/>
        <v>Descartado</v>
      </c>
    </row>
    <row r="13" spans="1:9" x14ac:dyDescent="0.25">
      <c r="A13" s="40"/>
      <c r="B13" s="37"/>
      <c r="C13" s="38"/>
      <c r="D13" s="38"/>
      <c r="E13" s="39"/>
      <c r="F13" s="39"/>
      <c r="G13" s="6" t="s">
        <v>201</v>
      </c>
      <c r="H13" s="17">
        <v>197.99</v>
      </c>
      <c r="I13" s="18">
        <f t="shared" si="0"/>
        <v>197.99</v>
      </c>
    </row>
    <row r="14" spans="1:9" x14ac:dyDescent="0.25">
      <c r="A14" s="40"/>
      <c r="B14" s="37"/>
      <c r="C14" s="38"/>
      <c r="D14" s="38"/>
      <c r="E14" s="39"/>
      <c r="F14" s="39"/>
      <c r="G14" s="6" t="s">
        <v>202</v>
      </c>
      <c r="H14" s="17">
        <v>572.5</v>
      </c>
      <c r="I14" s="18">
        <f t="shared" si="0"/>
        <v>572.5</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8" t="s">
        <v>14</v>
      </c>
      <c r="B19" s="8" t="s">
        <v>15</v>
      </c>
      <c r="C19" s="8" t="s">
        <v>25</v>
      </c>
      <c r="D19" s="8" t="s">
        <v>16</v>
      </c>
      <c r="E19" s="8" t="s">
        <v>17</v>
      </c>
      <c r="F19" s="8" t="s">
        <v>18</v>
      </c>
      <c r="G19" s="34" t="s">
        <v>19</v>
      </c>
      <c r="H19" s="34"/>
    </row>
    <row r="20" spans="1:9" x14ac:dyDescent="0.25">
      <c r="A20" s="9">
        <f>IF(B20&lt;2,"n/a",(_xlfn.STDEV.S(H3:H17)))</f>
        <v>216.73003005415001</v>
      </c>
      <c r="B20" s="9">
        <f>COUNT(H3:H17)</f>
        <v>12</v>
      </c>
      <c r="C20" s="10">
        <f>IF(B20&lt;2,"n/a",(A20/D20))</f>
        <v>0.452048285612694</v>
      </c>
      <c r="D20" s="11">
        <f>IFERROR(ROUND(AVERAGE(H3:H17),2),"")</f>
        <v>479.44</v>
      </c>
      <c r="E20" s="16">
        <f>IFERROR(ROUND(IF(B20&lt;2,"n/a",(IF(C20&lt;=25%,"n/a",AVERAGE(I3:I17)))),2),"n/a")</f>
        <v>454.84</v>
      </c>
      <c r="F20" s="11">
        <f>IFERROR(ROUND(MEDIAN(H3:H17),2),"")</f>
        <v>559.55999999999995</v>
      </c>
      <c r="G20" s="12" t="str">
        <f>IFERROR(INDEX(G3:G17,MATCH(H20,H3:H17,0)),"")</f>
        <v>4 NINJAS COMERCIO E DISTRIBUICAO DE PRODUTOS LTDA</v>
      </c>
      <c r="H20" s="13">
        <f>F3</f>
        <v>136</v>
      </c>
    </row>
    <row r="22" spans="1:9" x14ac:dyDescent="0.25">
      <c r="G22" s="14" t="s">
        <v>20</v>
      </c>
      <c r="H22" s="15">
        <f>IF(C20&lt;=25%,D20,MIN(E20:F20))</f>
        <v>454.84</v>
      </c>
    </row>
    <row r="23" spans="1:9" x14ac:dyDescent="0.25">
      <c r="G23" s="14" t="s">
        <v>6</v>
      </c>
      <c r="H23" s="15">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7" sqref="G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8" t="s">
        <v>1</v>
      </c>
      <c r="B2" s="8" t="s">
        <v>2</v>
      </c>
      <c r="C2" s="8" t="s">
        <v>3</v>
      </c>
      <c r="D2" s="8" t="s">
        <v>4</v>
      </c>
      <c r="E2" s="8" t="s">
        <v>9</v>
      </c>
      <c r="F2" s="8" t="s">
        <v>10</v>
      </c>
      <c r="G2" s="8" t="s">
        <v>11</v>
      </c>
      <c r="H2" s="8" t="s">
        <v>12</v>
      </c>
      <c r="I2" s="8" t="s">
        <v>13</v>
      </c>
    </row>
    <row r="3" spans="1:9" x14ac:dyDescent="0.25">
      <c r="A3" s="40">
        <v>22</v>
      </c>
      <c r="B3" s="36" t="s">
        <v>55</v>
      </c>
      <c r="C3" s="38" t="s">
        <v>7</v>
      </c>
      <c r="D3" s="38">
        <v>15</v>
      </c>
      <c r="E3" s="39">
        <f>IF(C20&lt;=25%,D20,MIN(E20:F20))</f>
        <v>1692.18</v>
      </c>
      <c r="F3" s="39">
        <f>MIN(H3:H17)</f>
        <v>900.9</v>
      </c>
      <c r="G3" s="6" t="s">
        <v>136</v>
      </c>
      <c r="H3" s="17">
        <v>900.9</v>
      </c>
      <c r="I3" s="18">
        <f>IF(H3="","",(IF($C$20&lt;25%,"n/a",IF(H3&lt;=($D$20+$A$20),H3,"Descartado"))))</f>
        <v>900.9</v>
      </c>
    </row>
    <row r="4" spans="1:9" x14ac:dyDescent="0.25">
      <c r="A4" s="40"/>
      <c r="B4" s="37"/>
      <c r="C4" s="38"/>
      <c r="D4" s="38"/>
      <c r="E4" s="39"/>
      <c r="F4" s="39"/>
      <c r="G4" s="6" t="s">
        <v>164</v>
      </c>
      <c r="H4" s="17">
        <v>1650</v>
      </c>
      <c r="I4" s="18">
        <f t="shared" ref="I4:I17" si="0">IF(H4="","",(IF($C$20&lt;25%,"n/a",IF(H4&lt;=($D$20+$A$20),H4,"Descartado"))))</f>
        <v>1650</v>
      </c>
    </row>
    <row r="5" spans="1:9" x14ac:dyDescent="0.25">
      <c r="A5" s="40"/>
      <c r="B5" s="37"/>
      <c r="C5" s="38"/>
      <c r="D5" s="38"/>
      <c r="E5" s="39"/>
      <c r="F5" s="39"/>
      <c r="G5" s="6" t="s">
        <v>145</v>
      </c>
      <c r="H5" s="17">
        <v>2399</v>
      </c>
      <c r="I5" s="18">
        <f t="shared" si="0"/>
        <v>2399</v>
      </c>
    </row>
    <row r="6" spans="1:9" x14ac:dyDescent="0.25">
      <c r="A6" s="40"/>
      <c r="B6" s="37"/>
      <c r="C6" s="38"/>
      <c r="D6" s="38"/>
      <c r="E6" s="39"/>
      <c r="F6" s="39"/>
      <c r="G6" s="6" t="s">
        <v>165</v>
      </c>
      <c r="H6" s="17">
        <v>3034</v>
      </c>
      <c r="I6" s="18" t="str">
        <f t="shared" si="0"/>
        <v>Descartado</v>
      </c>
    </row>
    <row r="7" spans="1:9" x14ac:dyDescent="0.25">
      <c r="A7" s="40"/>
      <c r="B7" s="37"/>
      <c r="C7" s="38"/>
      <c r="D7" s="38"/>
      <c r="E7" s="39"/>
      <c r="F7" s="39"/>
      <c r="G7" s="6" t="s">
        <v>203</v>
      </c>
      <c r="H7" s="17">
        <v>2019</v>
      </c>
      <c r="I7" s="18">
        <f t="shared" si="0"/>
        <v>2019</v>
      </c>
    </row>
    <row r="8" spans="1:9" x14ac:dyDescent="0.25">
      <c r="A8" s="40"/>
      <c r="B8" s="37"/>
      <c r="C8" s="38"/>
      <c r="D8" s="38"/>
      <c r="E8" s="39"/>
      <c r="F8" s="39"/>
      <c r="G8" s="6" t="s">
        <v>204</v>
      </c>
      <c r="H8" s="17">
        <v>1492</v>
      </c>
      <c r="I8" s="18">
        <f t="shared" si="0"/>
        <v>1492</v>
      </c>
    </row>
    <row r="9" spans="1:9" x14ac:dyDescent="0.25">
      <c r="A9" s="40"/>
      <c r="B9" s="37"/>
      <c r="C9" s="38"/>
      <c r="D9" s="38"/>
      <c r="E9" s="39"/>
      <c r="F9" s="39"/>
      <c r="G9" s="6"/>
      <c r="H9" s="17"/>
      <c r="I9" s="18" t="str">
        <f t="shared" si="0"/>
        <v/>
      </c>
    </row>
    <row r="10" spans="1:9" x14ac:dyDescent="0.25">
      <c r="A10" s="40"/>
      <c r="B10" s="37"/>
      <c r="C10" s="38"/>
      <c r="D10" s="38"/>
      <c r="E10" s="39"/>
      <c r="F10" s="39"/>
      <c r="G10" s="6"/>
      <c r="H10" s="17"/>
      <c r="I10" s="18" t="str">
        <f t="shared" si="0"/>
        <v/>
      </c>
    </row>
    <row r="11" spans="1:9" x14ac:dyDescent="0.25">
      <c r="A11" s="40"/>
      <c r="B11" s="37"/>
      <c r="C11" s="38"/>
      <c r="D11" s="38"/>
      <c r="E11" s="39"/>
      <c r="F11" s="39"/>
      <c r="G11" s="6"/>
      <c r="H11" s="17"/>
      <c r="I11" s="18" t="str">
        <f t="shared" si="0"/>
        <v/>
      </c>
    </row>
    <row r="12" spans="1:9" x14ac:dyDescent="0.25">
      <c r="A12" s="40"/>
      <c r="B12" s="37"/>
      <c r="C12" s="38"/>
      <c r="D12" s="38"/>
      <c r="E12" s="39"/>
      <c r="F12" s="39"/>
      <c r="G12" s="6"/>
      <c r="H12" s="17"/>
      <c r="I12" s="18" t="str">
        <f t="shared" si="0"/>
        <v/>
      </c>
    </row>
    <row r="13" spans="1:9" x14ac:dyDescent="0.25">
      <c r="A13" s="40"/>
      <c r="B13" s="37"/>
      <c r="C13" s="38"/>
      <c r="D13" s="38"/>
      <c r="E13" s="39"/>
      <c r="F13" s="39"/>
      <c r="G13" s="6"/>
      <c r="H13" s="17"/>
      <c r="I13" s="18" t="str">
        <f t="shared" si="0"/>
        <v/>
      </c>
    </row>
    <row r="14" spans="1:9" x14ac:dyDescent="0.25">
      <c r="A14" s="40"/>
      <c r="B14" s="37"/>
      <c r="C14" s="38"/>
      <c r="D14" s="38"/>
      <c r="E14" s="39"/>
      <c r="F14" s="39"/>
      <c r="G14" s="6"/>
      <c r="H14" s="17"/>
      <c r="I14" s="18" t="str">
        <f t="shared" si="0"/>
        <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8" t="s">
        <v>14</v>
      </c>
      <c r="B19" s="8" t="s">
        <v>15</v>
      </c>
      <c r="C19" s="8" t="s">
        <v>25</v>
      </c>
      <c r="D19" s="8" t="s">
        <v>16</v>
      </c>
      <c r="E19" s="8" t="s">
        <v>17</v>
      </c>
      <c r="F19" s="8" t="s">
        <v>18</v>
      </c>
      <c r="G19" s="34" t="s">
        <v>19</v>
      </c>
      <c r="H19" s="34"/>
    </row>
    <row r="20" spans="1:9" x14ac:dyDescent="0.25">
      <c r="A20" s="9">
        <f>IF(B20&lt;2,"n/a",(_xlfn.STDEV.S(H3:H17)))</f>
        <v>744.95393258017475</v>
      </c>
      <c r="B20" s="9">
        <f>COUNT(H3:H17)</f>
        <v>6</v>
      </c>
      <c r="C20" s="10">
        <f>IF(B20&lt;2,"n/a",(A20/D20))</f>
        <v>0.3888433843368243</v>
      </c>
      <c r="D20" s="11">
        <f>IFERROR(ROUND(AVERAGE(H3:H17),2),"")</f>
        <v>1915.82</v>
      </c>
      <c r="E20" s="16">
        <f>IFERROR(ROUND(IF(B20&lt;2,"n/a",(IF(C20&lt;=25%,"n/a",AVERAGE(I3:I17)))),2),"n/a")</f>
        <v>1692.18</v>
      </c>
      <c r="F20" s="11">
        <f>IFERROR(ROUND(MEDIAN(H3:H17),2),"")</f>
        <v>1834.5</v>
      </c>
      <c r="G20" s="12" t="str">
        <f>IFERROR(INDEX(G3:G17,MATCH(H20,H3:H17,0)),"")</f>
        <v>AUDIOVISAO ELETRO E CENTRAL DE PRODUTOS LTDA</v>
      </c>
      <c r="H20" s="13">
        <f>F3</f>
        <v>900.9</v>
      </c>
    </row>
    <row r="22" spans="1:9" x14ac:dyDescent="0.25">
      <c r="G22" s="14" t="s">
        <v>20</v>
      </c>
      <c r="H22" s="15">
        <f>IF(C20&lt;=25%,D20,MIN(E20:F20))</f>
        <v>1692.18</v>
      </c>
    </row>
    <row r="23" spans="1:9" x14ac:dyDescent="0.25">
      <c r="G23" s="14" t="s">
        <v>6</v>
      </c>
      <c r="H23" s="15">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1" sqref="G11"/>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8" t="s">
        <v>1</v>
      </c>
      <c r="B2" s="8" t="s">
        <v>2</v>
      </c>
      <c r="C2" s="8" t="s">
        <v>3</v>
      </c>
      <c r="D2" s="8" t="s">
        <v>4</v>
      </c>
      <c r="E2" s="8" t="s">
        <v>9</v>
      </c>
      <c r="F2" s="8" t="s">
        <v>10</v>
      </c>
      <c r="G2" s="8" t="s">
        <v>11</v>
      </c>
      <c r="H2" s="8" t="s">
        <v>12</v>
      </c>
      <c r="I2" s="8" t="s">
        <v>13</v>
      </c>
    </row>
    <row r="3" spans="1:9" x14ac:dyDescent="0.25">
      <c r="A3" s="40">
        <v>23</v>
      </c>
      <c r="B3" s="36" t="s">
        <v>56</v>
      </c>
      <c r="C3" s="38" t="s">
        <v>7</v>
      </c>
      <c r="D3" s="38">
        <v>1</v>
      </c>
      <c r="E3" s="39">
        <f>IF(C20&lt;=25%,D20,MIN(E20:F20))</f>
        <v>2269.12</v>
      </c>
      <c r="F3" s="39">
        <f>MIN(H3:H17)</f>
        <v>1299</v>
      </c>
      <c r="G3" s="6" t="s">
        <v>166</v>
      </c>
      <c r="H3" s="17">
        <v>1299</v>
      </c>
      <c r="I3" s="18">
        <f>IF(H3="","",(IF($C$20&lt;25%,"n/a",IF(H3&lt;=($D$20+$A$20),H3,"Descartado"))))</f>
        <v>1299</v>
      </c>
    </row>
    <row r="4" spans="1:9" x14ac:dyDescent="0.25">
      <c r="A4" s="40"/>
      <c r="B4" s="37"/>
      <c r="C4" s="38"/>
      <c r="D4" s="38"/>
      <c r="E4" s="39"/>
      <c r="F4" s="39"/>
      <c r="G4" s="6" t="s">
        <v>107</v>
      </c>
      <c r="H4" s="17">
        <v>1689</v>
      </c>
      <c r="I4" s="18">
        <f t="shared" ref="I4:I17" si="0">IF(H4="","",(IF($C$20&lt;25%,"n/a",IF(H4&lt;=($D$20+$A$20),H4,"Descartado"))))</f>
        <v>1689</v>
      </c>
    </row>
    <row r="5" spans="1:9" x14ac:dyDescent="0.25">
      <c r="A5" s="40"/>
      <c r="B5" s="37"/>
      <c r="C5" s="38"/>
      <c r="D5" s="38"/>
      <c r="E5" s="39"/>
      <c r="F5" s="39"/>
      <c r="G5" s="6" t="s">
        <v>138</v>
      </c>
      <c r="H5" s="17">
        <v>4779.97</v>
      </c>
      <c r="I5" s="18" t="str">
        <f t="shared" si="0"/>
        <v>Descartado</v>
      </c>
    </row>
    <row r="6" spans="1:9" x14ac:dyDescent="0.25">
      <c r="A6" s="40"/>
      <c r="B6" s="37"/>
      <c r="C6" s="38"/>
      <c r="D6" s="38"/>
      <c r="E6" s="39"/>
      <c r="F6" s="39"/>
      <c r="G6" s="6" t="s">
        <v>167</v>
      </c>
      <c r="H6" s="17">
        <v>4768</v>
      </c>
      <c r="I6" s="18" t="str">
        <f t="shared" si="0"/>
        <v>Descartado</v>
      </c>
    </row>
    <row r="7" spans="1:9" x14ac:dyDescent="0.25">
      <c r="A7" s="40"/>
      <c r="B7" s="37"/>
      <c r="C7" s="38"/>
      <c r="D7" s="38"/>
      <c r="E7" s="39"/>
      <c r="F7" s="39"/>
      <c r="G7" s="6" t="s">
        <v>205</v>
      </c>
      <c r="H7" s="17">
        <v>2249.1</v>
      </c>
      <c r="I7" s="18">
        <f t="shared" si="0"/>
        <v>2249.1</v>
      </c>
    </row>
    <row r="8" spans="1:9" x14ac:dyDescent="0.25">
      <c r="A8" s="40"/>
      <c r="B8" s="37"/>
      <c r="C8" s="38"/>
      <c r="D8" s="38"/>
      <c r="E8" s="39"/>
      <c r="F8" s="39"/>
      <c r="G8" s="6" t="s">
        <v>206</v>
      </c>
      <c r="H8" s="17">
        <v>2554.9899999999998</v>
      </c>
      <c r="I8" s="18">
        <f t="shared" si="0"/>
        <v>2554.9899999999998</v>
      </c>
    </row>
    <row r="9" spans="1:9" x14ac:dyDescent="0.25">
      <c r="A9" s="40"/>
      <c r="B9" s="37"/>
      <c r="C9" s="38"/>
      <c r="D9" s="38"/>
      <c r="E9" s="39"/>
      <c r="F9" s="39"/>
      <c r="G9" s="6" t="s">
        <v>207</v>
      </c>
      <c r="H9" s="17">
        <v>4045.24</v>
      </c>
      <c r="I9" s="18">
        <f t="shared" si="0"/>
        <v>4045.24</v>
      </c>
    </row>
    <row r="10" spans="1:9" x14ac:dyDescent="0.25">
      <c r="A10" s="40"/>
      <c r="B10" s="37"/>
      <c r="C10" s="38"/>
      <c r="D10" s="38"/>
      <c r="E10" s="39"/>
      <c r="F10" s="39"/>
      <c r="G10" s="6" t="s">
        <v>208</v>
      </c>
      <c r="H10" s="17">
        <v>1777.41</v>
      </c>
      <c r="I10" s="18">
        <f t="shared" si="0"/>
        <v>1777.41</v>
      </c>
    </row>
    <row r="11" spans="1:9" x14ac:dyDescent="0.25">
      <c r="A11" s="40"/>
      <c r="B11" s="37"/>
      <c r="C11" s="38"/>
      <c r="D11" s="38"/>
      <c r="E11" s="39"/>
      <c r="F11" s="39"/>
      <c r="G11" s="6"/>
      <c r="H11" s="17"/>
      <c r="I11" s="18" t="str">
        <f t="shared" si="0"/>
        <v/>
      </c>
    </row>
    <row r="12" spans="1:9" x14ac:dyDescent="0.25">
      <c r="A12" s="40"/>
      <c r="B12" s="37"/>
      <c r="C12" s="38"/>
      <c r="D12" s="38"/>
      <c r="E12" s="39"/>
      <c r="F12" s="39"/>
      <c r="G12" s="6"/>
      <c r="H12" s="17"/>
      <c r="I12" s="18" t="str">
        <f t="shared" si="0"/>
        <v/>
      </c>
    </row>
    <row r="13" spans="1:9" x14ac:dyDescent="0.25">
      <c r="A13" s="40"/>
      <c r="B13" s="37"/>
      <c r="C13" s="38"/>
      <c r="D13" s="38"/>
      <c r="E13" s="39"/>
      <c r="F13" s="39"/>
      <c r="G13" s="6"/>
      <c r="H13" s="17"/>
      <c r="I13" s="18" t="str">
        <f t="shared" si="0"/>
        <v/>
      </c>
    </row>
    <row r="14" spans="1:9" x14ac:dyDescent="0.25">
      <c r="A14" s="40"/>
      <c r="B14" s="37"/>
      <c r="C14" s="38"/>
      <c r="D14" s="38"/>
      <c r="E14" s="39"/>
      <c r="F14" s="39"/>
      <c r="G14" s="6"/>
      <c r="H14" s="17"/>
      <c r="I14" s="18" t="str">
        <f t="shared" si="0"/>
        <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8" t="s">
        <v>14</v>
      </c>
      <c r="B19" s="8" t="s">
        <v>15</v>
      </c>
      <c r="C19" s="8" t="s">
        <v>25</v>
      </c>
      <c r="D19" s="8" t="s">
        <v>16</v>
      </c>
      <c r="E19" s="8" t="s">
        <v>17</v>
      </c>
      <c r="F19" s="8" t="s">
        <v>18</v>
      </c>
      <c r="G19" s="34" t="s">
        <v>19</v>
      </c>
      <c r="H19" s="34"/>
    </row>
    <row r="20" spans="1:9" x14ac:dyDescent="0.25">
      <c r="A20" s="9">
        <f>IF(B20&lt;2,"n/a",(_xlfn.STDEV.S(H3:H17)))</f>
        <v>1422.6607395343763</v>
      </c>
      <c r="B20" s="9">
        <f>COUNT(H3:H17)</f>
        <v>8</v>
      </c>
      <c r="C20" s="10">
        <f>IF(B20&lt;2,"n/a",(A20/D20))</f>
        <v>0.4913622370893837</v>
      </c>
      <c r="D20" s="11">
        <f>IFERROR(ROUND(AVERAGE(H3:H17),2),"")</f>
        <v>2895.34</v>
      </c>
      <c r="E20" s="16">
        <f>IFERROR(ROUND(IF(B20&lt;2,"n/a",(IF(C20&lt;=25%,"n/a",AVERAGE(I3:I17)))),2),"n/a")</f>
        <v>2269.12</v>
      </c>
      <c r="F20" s="11">
        <f>IFERROR(ROUND(MEDIAN(H3:H17),2),"")</f>
        <v>2402.0500000000002</v>
      </c>
      <c r="G20" s="12" t="str">
        <f>IFERROR(INDEX(G3:G17,MATCH(H20,H3:H17,0)),"")</f>
        <v>TECNO TRADE COMERCIO E SERVICOS DE EQUIPAMENTOS ELETRONICOS E SONORIZACAO LTDA.</v>
      </c>
      <c r="H20" s="13">
        <f>F3</f>
        <v>1299</v>
      </c>
    </row>
    <row r="22" spans="1:9" x14ac:dyDescent="0.25">
      <c r="G22" s="14" t="s">
        <v>20</v>
      </c>
      <c r="H22" s="15">
        <f>IF(C20&lt;=25%,D20,MIN(E20:F20))</f>
        <v>2269.12</v>
      </c>
    </row>
    <row r="23" spans="1:9" x14ac:dyDescent="0.25">
      <c r="G23" s="14" t="s">
        <v>6</v>
      </c>
      <c r="H23" s="15">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6" sqref="H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8" t="s">
        <v>1</v>
      </c>
      <c r="B2" s="8" t="s">
        <v>2</v>
      </c>
      <c r="C2" s="8" t="s">
        <v>3</v>
      </c>
      <c r="D2" s="8" t="s">
        <v>4</v>
      </c>
      <c r="E2" s="8" t="s">
        <v>9</v>
      </c>
      <c r="F2" s="8" t="s">
        <v>10</v>
      </c>
      <c r="G2" s="8" t="s">
        <v>11</v>
      </c>
      <c r="H2" s="8" t="s">
        <v>12</v>
      </c>
      <c r="I2" s="8" t="s">
        <v>13</v>
      </c>
    </row>
    <row r="3" spans="1:9" x14ac:dyDescent="0.25">
      <c r="A3" s="40">
        <v>24</v>
      </c>
      <c r="B3" s="36" t="s">
        <v>57</v>
      </c>
      <c r="C3" s="38" t="s">
        <v>7</v>
      </c>
      <c r="D3" s="38">
        <v>6</v>
      </c>
      <c r="E3" s="39">
        <f>IF(C20&lt;=25%,D20,MIN(E20:F20))</f>
        <v>150.47</v>
      </c>
      <c r="F3" s="39">
        <f>MIN(H3:H17)</f>
        <v>116.55</v>
      </c>
      <c r="G3" s="6" t="s">
        <v>186</v>
      </c>
      <c r="H3" s="17">
        <v>116.55</v>
      </c>
      <c r="I3" s="18" t="str">
        <f>IF(H3="","",(IF($C$20&lt;25%,"n/a",IF(H3&lt;=($D$20+$A$20),H3,"Descartado"))))</f>
        <v>n/a</v>
      </c>
    </row>
    <row r="4" spans="1:9" x14ac:dyDescent="0.25">
      <c r="A4" s="40"/>
      <c r="B4" s="37"/>
      <c r="C4" s="38"/>
      <c r="D4" s="38"/>
      <c r="E4" s="39"/>
      <c r="F4" s="39"/>
      <c r="G4" s="6" t="s">
        <v>192</v>
      </c>
      <c r="H4" s="17">
        <v>189.9</v>
      </c>
      <c r="I4" s="18" t="str">
        <f t="shared" ref="I4:I17" si="0">IF(H4="","",(IF($C$20&lt;25%,"n/a",IF(H4&lt;=($D$20+$A$20),H4,"Descartado"))))</f>
        <v>n/a</v>
      </c>
    </row>
    <row r="5" spans="1:9" x14ac:dyDescent="0.25">
      <c r="A5" s="40"/>
      <c r="B5" s="37"/>
      <c r="C5" s="38"/>
      <c r="D5" s="38"/>
      <c r="E5" s="39"/>
      <c r="F5" s="39"/>
      <c r="G5" s="6" t="s">
        <v>209</v>
      </c>
      <c r="H5" s="17">
        <v>144.94999999999999</v>
      </c>
      <c r="I5" s="18" t="str">
        <f t="shared" si="0"/>
        <v>n/a</v>
      </c>
    </row>
    <row r="6" spans="1:9" x14ac:dyDescent="0.25">
      <c r="A6" s="40"/>
      <c r="B6" s="37"/>
      <c r="C6" s="38"/>
      <c r="D6" s="38"/>
      <c r="E6" s="39"/>
      <c r="F6" s="39"/>
      <c r="G6" s="6"/>
      <c r="H6" s="17"/>
      <c r="I6" s="18" t="str">
        <f t="shared" si="0"/>
        <v/>
      </c>
    </row>
    <row r="7" spans="1:9" x14ac:dyDescent="0.25">
      <c r="A7" s="40"/>
      <c r="B7" s="37"/>
      <c r="C7" s="38"/>
      <c r="D7" s="38"/>
      <c r="E7" s="39"/>
      <c r="F7" s="39"/>
      <c r="G7" s="6"/>
      <c r="H7" s="17"/>
      <c r="I7" s="18" t="str">
        <f t="shared" si="0"/>
        <v/>
      </c>
    </row>
    <row r="8" spans="1:9" x14ac:dyDescent="0.25">
      <c r="A8" s="40"/>
      <c r="B8" s="37"/>
      <c r="C8" s="38"/>
      <c r="D8" s="38"/>
      <c r="E8" s="39"/>
      <c r="F8" s="39"/>
      <c r="G8" s="6"/>
      <c r="H8" s="17"/>
      <c r="I8" s="18" t="str">
        <f t="shared" si="0"/>
        <v/>
      </c>
    </row>
    <row r="9" spans="1:9" x14ac:dyDescent="0.25">
      <c r="A9" s="40"/>
      <c r="B9" s="37"/>
      <c r="C9" s="38"/>
      <c r="D9" s="38"/>
      <c r="E9" s="39"/>
      <c r="F9" s="39"/>
      <c r="G9" s="6"/>
      <c r="H9" s="17"/>
      <c r="I9" s="18" t="str">
        <f t="shared" si="0"/>
        <v/>
      </c>
    </row>
    <row r="10" spans="1:9" x14ac:dyDescent="0.25">
      <c r="A10" s="40"/>
      <c r="B10" s="37"/>
      <c r="C10" s="38"/>
      <c r="D10" s="38"/>
      <c r="E10" s="39"/>
      <c r="F10" s="39"/>
      <c r="G10" s="6"/>
      <c r="H10" s="17"/>
      <c r="I10" s="18" t="str">
        <f t="shared" si="0"/>
        <v/>
      </c>
    </row>
    <row r="11" spans="1:9" x14ac:dyDescent="0.25">
      <c r="A11" s="40"/>
      <c r="B11" s="37"/>
      <c r="C11" s="38"/>
      <c r="D11" s="38"/>
      <c r="E11" s="39"/>
      <c r="F11" s="39"/>
      <c r="G11" s="6"/>
      <c r="H11" s="17"/>
      <c r="I11" s="18" t="str">
        <f t="shared" si="0"/>
        <v/>
      </c>
    </row>
    <row r="12" spans="1:9" x14ac:dyDescent="0.25">
      <c r="A12" s="40"/>
      <c r="B12" s="37"/>
      <c r="C12" s="38"/>
      <c r="D12" s="38"/>
      <c r="E12" s="39"/>
      <c r="F12" s="39"/>
      <c r="G12" s="6"/>
      <c r="H12" s="17"/>
      <c r="I12" s="18" t="str">
        <f t="shared" si="0"/>
        <v/>
      </c>
    </row>
    <row r="13" spans="1:9" x14ac:dyDescent="0.25">
      <c r="A13" s="40"/>
      <c r="B13" s="37"/>
      <c r="C13" s="38"/>
      <c r="D13" s="38"/>
      <c r="E13" s="39"/>
      <c r="F13" s="39"/>
      <c r="G13" s="6"/>
      <c r="H13" s="17"/>
      <c r="I13" s="18" t="str">
        <f t="shared" si="0"/>
        <v/>
      </c>
    </row>
    <row r="14" spans="1:9" x14ac:dyDescent="0.25">
      <c r="A14" s="40"/>
      <c r="B14" s="37"/>
      <c r="C14" s="38"/>
      <c r="D14" s="38"/>
      <c r="E14" s="39"/>
      <c r="F14" s="39"/>
      <c r="G14" s="6"/>
      <c r="H14" s="17"/>
      <c r="I14" s="18" t="str">
        <f t="shared" si="0"/>
        <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8" t="s">
        <v>14</v>
      </c>
      <c r="B19" s="8" t="s">
        <v>15</v>
      </c>
      <c r="C19" s="8" t="s">
        <v>25</v>
      </c>
      <c r="D19" s="8" t="s">
        <v>16</v>
      </c>
      <c r="E19" s="8" t="s">
        <v>17</v>
      </c>
      <c r="F19" s="8" t="s">
        <v>18</v>
      </c>
      <c r="G19" s="34" t="s">
        <v>19</v>
      </c>
      <c r="H19" s="34"/>
    </row>
    <row r="20" spans="1:9" x14ac:dyDescent="0.25">
      <c r="A20" s="9">
        <f>IF(B20&lt;2,"n/a",(_xlfn.STDEV.S(H3:H17)))</f>
        <v>36.984873033895035</v>
      </c>
      <c r="B20" s="9">
        <f>COUNT(H3:H17)</f>
        <v>3</v>
      </c>
      <c r="C20" s="10">
        <f>IF(B20&lt;2,"n/a",(A20/D20))</f>
        <v>0.24579566048976564</v>
      </c>
      <c r="D20" s="11">
        <f>IFERROR(ROUND(AVERAGE(H3:H17),2),"")</f>
        <v>150.47</v>
      </c>
      <c r="E20" s="16" t="str">
        <f>IFERROR(ROUND(IF(B20&lt;2,"n/a",(IF(C20&lt;=25%,"n/a",AVERAGE(I3:I17)))),2),"n/a")</f>
        <v>n/a</v>
      </c>
      <c r="F20" s="11">
        <f>IFERROR(ROUND(MEDIAN(H3:H17),2),"")</f>
        <v>144.94999999999999</v>
      </c>
      <c r="G20" s="12" t="str">
        <f>IFERROR(INDEX(G3:G17,MATCH(H20,H3:H17,0)),"")</f>
        <v>KABUM</v>
      </c>
      <c r="H20" s="13">
        <f>F3</f>
        <v>116.55</v>
      </c>
    </row>
    <row r="22" spans="1:9" x14ac:dyDescent="0.25">
      <c r="G22" s="14" t="s">
        <v>20</v>
      </c>
      <c r="H22" s="15">
        <f>IF(C20&lt;=25%,D20,MIN(E20:F20))</f>
        <v>150.47</v>
      </c>
    </row>
    <row r="23" spans="1:9" x14ac:dyDescent="0.25">
      <c r="G23" s="14" t="s">
        <v>6</v>
      </c>
      <c r="H23" s="15">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7" sqref="H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8" t="s">
        <v>1</v>
      </c>
      <c r="B2" s="8" t="s">
        <v>2</v>
      </c>
      <c r="C2" s="8" t="s">
        <v>3</v>
      </c>
      <c r="D2" s="8" t="s">
        <v>4</v>
      </c>
      <c r="E2" s="8" t="s">
        <v>9</v>
      </c>
      <c r="F2" s="8" t="s">
        <v>10</v>
      </c>
      <c r="G2" s="8" t="s">
        <v>11</v>
      </c>
      <c r="H2" s="8" t="s">
        <v>12</v>
      </c>
      <c r="I2" s="8" t="s">
        <v>13</v>
      </c>
    </row>
    <row r="3" spans="1:9" x14ac:dyDescent="0.25">
      <c r="A3" s="40">
        <v>25</v>
      </c>
      <c r="B3" s="36" t="s">
        <v>58</v>
      </c>
      <c r="C3" s="38" t="s">
        <v>7</v>
      </c>
      <c r="D3" s="38">
        <v>2</v>
      </c>
      <c r="E3" s="39">
        <f>IF(C20&lt;=25%,D20,MIN(E20:F20))</f>
        <v>701.53</v>
      </c>
      <c r="F3" s="39">
        <f>MIN(H3:H17)</f>
        <v>549</v>
      </c>
      <c r="G3" s="6" t="s">
        <v>210</v>
      </c>
      <c r="H3" s="17">
        <v>549</v>
      </c>
      <c r="I3" s="18">
        <f>IF(H3="","",(IF($C$20&lt;25%,"n/a",IF(H3&lt;=($D$20+$A$20),H3,"Descartado"))))</f>
        <v>549</v>
      </c>
    </row>
    <row r="4" spans="1:9" x14ac:dyDescent="0.25">
      <c r="A4" s="40"/>
      <c r="B4" s="37"/>
      <c r="C4" s="38"/>
      <c r="D4" s="38"/>
      <c r="E4" s="39"/>
      <c r="F4" s="39"/>
      <c r="G4" s="6" t="s">
        <v>186</v>
      </c>
      <c r="H4" s="17">
        <v>679.9</v>
      </c>
      <c r="I4" s="18">
        <f t="shared" ref="I4:I17" si="0">IF(H4="","",(IF($C$20&lt;25%,"n/a",IF(H4&lt;=($D$20+$A$20),H4,"Descartado"))))</f>
        <v>679.9</v>
      </c>
    </row>
    <row r="5" spans="1:9" x14ac:dyDescent="0.25">
      <c r="A5" s="40"/>
      <c r="B5" s="37"/>
      <c r="C5" s="38"/>
      <c r="D5" s="38"/>
      <c r="E5" s="39"/>
      <c r="F5" s="39"/>
      <c r="G5" s="6" t="s">
        <v>179</v>
      </c>
      <c r="H5" s="17">
        <v>998</v>
      </c>
      <c r="I5" s="18" t="str">
        <f t="shared" si="0"/>
        <v>Descartado</v>
      </c>
    </row>
    <row r="6" spans="1:9" x14ac:dyDescent="0.25">
      <c r="A6" s="40"/>
      <c r="B6" s="37"/>
      <c r="C6" s="38"/>
      <c r="D6" s="38"/>
      <c r="E6" s="39"/>
      <c r="F6" s="39"/>
      <c r="G6" s="6" t="s">
        <v>211</v>
      </c>
      <c r="H6" s="17">
        <v>875.69</v>
      </c>
      <c r="I6" s="18">
        <f t="shared" si="0"/>
        <v>875.69</v>
      </c>
    </row>
    <row r="7" spans="1:9" x14ac:dyDescent="0.25">
      <c r="A7" s="40"/>
      <c r="B7" s="37"/>
      <c r="C7" s="38"/>
      <c r="D7" s="38"/>
      <c r="E7" s="39"/>
      <c r="F7" s="39"/>
      <c r="G7" s="6"/>
      <c r="H7" s="17"/>
      <c r="I7" s="18" t="str">
        <f t="shared" si="0"/>
        <v/>
      </c>
    </row>
    <row r="8" spans="1:9" x14ac:dyDescent="0.25">
      <c r="A8" s="40"/>
      <c r="B8" s="37"/>
      <c r="C8" s="38"/>
      <c r="D8" s="38"/>
      <c r="E8" s="39"/>
      <c r="F8" s="39"/>
      <c r="G8" s="6"/>
      <c r="H8" s="17"/>
      <c r="I8" s="18" t="str">
        <f t="shared" si="0"/>
        <v/>
      </c>
    </row>
    <row r="9" spans="1:9" x14ac:dyDescent="0.25">
      <c r="A9" s="40"/>
      <c r="B9" s="37"/>
      <c r="C9" s="38"/>
      <c r="D9" s="38"/>
      <c r="E9" s="39"/>
      <c r="F9" s="39"/>
      <c r="G9" s="6"/>
      <c r="H9" s="17"/>
      <c r="I9" s="18" t="str">
        <f t="shared" si="0"/>
        <v/>
      </c>
    </row>
    <row r="10" spans="1:9" x14ac:dyDescent="0.25">
      <c r="A10" s="40"/>
      <c r="B10" s="37"/>
      <c r="C10" s="38"/>
      <c r="D10" s="38"/>
      <c r="E10" s="39"/>
      <c r="F10" s="39"/>
      <c r="G10" s="6"/>
      <c r="H10" s="17"/>
      <c r="I10" s="18" t="str">
        <f t="shared" si="0"/>
        <v/>
      </c>
    </row>
    <row r="11" spans="1:9" x14ac:dyDescent="0.25">
      <c r="A11" s="40"/>
      <c r="B11" s="37"/>
      <c r="C11" s="38"/>
      <c r="D11" s="38"/>
      <c r="E11" s="39"/>
      <c r="F11" s="39"/>
      <c r="G11" s="6"/>
      <c r="H11" s="17"/>
      <c r="I11" s="18" t="str">
        <f t="shared" si="0"/>
        <v/>
      </c>
    </row>
    <row r="12" spans="1:9" x14ac:dyDescent="0.25">
      <c r="A12" s="40"/>
      <c r="B12" s="37"/>
      <c r="C12" s="38"/>
      <c r="D12" s="38"/>
      <c r="E12" s="39"/>
      <c r="F12" s="39"/>
      <c r="G12" s="6"/>
      <c r="H12" s="17"/>
      <c r="I12" s="18" t="str">
        <f t="shared" si="0"/>
        <v/>
      </c>
    </row>
    <row r="13" spans="1:9" x14ac:dyDescent="0.25">
      <c r="A13" s="40"/>
      <c r="B13" s="37"/>
      <c r="C13" s="38"/>
      <c r="D13" s="38"/>
      <c r="E13" s="39"/>
      <c r="F13" s="39"/>
      <c r="G13" s="6"/>
      <c r="H13" s="17"/>
      <c r="I13" s="18" t="str">
        <f t="shared" si="0"/>
        <v/>
      </c>
    </row>
    <row r="14" spans="1:9" x14ac:dyDescent="0.25">
      <c r="A14" s="40"/>
      <c r="B14" s="37"/>
      <c r="C14" s="38"/>
      <c r="D14" s="38"/>
      <c r="E14" s="39"/>
      <c r="F14" s="39"/>
      <c r="G14" s="6"/>
      <c r="H14" s="17"/>
      <c r="I14" s="18" t="str">
        <f t="shared" si="0"/>
        <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8" t="s">
        <v>14</v>
      </c>
      <c r="B19" s="8" t="s">
        <v>15</v>
      </c>
      <c r="C19" s="8" t="s">
        <v>25</v>
      </c>
      <c r="D19" s="8" t="s">
        <v>16</v>
      </c>
      <c r="E19" s="8" t="s">
        <v>17</v>
      </c>
      <c r="F19" s="8" t="s">
        <v>18</v>
      </c>
      <c r="G19" s="34" t="s">
        <v>19</v>
      </c>
      <c r="H19" s="34"/>
    </row>
    <row r="20" spans="1:9" x14ac:dyDescent="0.25">
      <c r="A20" s="9">
        <f>IF(B20&lt;2,"n/a",(_xlfn.STDEV.S(H3:H17)))</f>
        <v>199.98817387952403</v>
      </c>
      <c r="B20" s="9">
        <f>COUNT(H3:H17)</f>
        <v>4</v>
      </c>
      <c r="C20" s="10">
        <f>IF(B20&lt;2,"n/a",(A20/D20))</f>
        <v>0.25783300957844907</v>
      </c>
      <c r="D20" s="11">
        <f>IFERROR(ROUND(AVERAGE(H3:H17),2),"")</f>
        <v>775.65</v>
      </c>
      <c r="E20" s="16">
        <f>IFERROR(ROUND(IF(B20&lt;2,"n/a",(IF(C20&lt;=25%,"n/a",AVERAGE(I3:I17)))),2),"n/a")</f>
        <v>701.53</v>
      </c>
      <c r="F20" s="11">
        <f>IFERROR(ROUND(MEDIAN(H3:H17),2),"")</f>
        <v>777.8</v>
      </c>
      <c r="G20" s="12" t="str">
        <f>IFERROR(INDEX(G3:G17,MATCH(H20,H3:H17,0)),"")</f>
        <v>BRASILTRONIC</v>
      </c>
      <c r="H20" s="13">
        <f>F3</f>
        <v>549</v>
      </c>
    </row>
    <row r="22" spans="1:9" x14ac:dyDescent="0.25">
      <c r="G22" s="14" t="s">
        <v>20</v>
      </c>
      <c r="H22" s="15">
        <f>IF(C20&lt;=25%,D20,MIN(E20:F20))</f>
        <v>701.53</v>
      </c>
    </row>
    <row r="23" spans="1:9" x14ac:dyDescent="0.25">
      <c r="G23" s="14" t="s">
        <v>6</v>
      </c>
      <c r="H23" s="15">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5" sqref="G15"/>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8" t="s">
        <v>1</v>
      </c>
      <c r="B2" s="8" t="s">
        <v>2</v>
      </c>
      <c r="C2" s="8" t="s">
        <v>3</v>
      </c>
      <c r="D2" s="8" t="s">
        <v>4</v>
      </c>
      <c r="E2" s="8" t="s">
        <v>9</v>
      </c>
      <c r="F2" s="8" t="s">
        <v>10</v>
      </c>
      <c r="G2" s="8" t="s">
        <v>11</v>
      </c>
      <c r="H2" s="8" t="s">
        <v>12</v>
      </c>
      <c r="I2" s="8" t="s">
        <v>13</v>
      </c>
    </row>
    <row r="3" spans="1:9" x14ac:dyDescent="0.25">
      <c r="A3" s="40">
        <v>26</v>
      </c>
      <c r="B3" s="36" t="s">
        <v>59</v>
      </c>
      <c r="C3" s="38" t="s">
        <v>7</v>
      </c>
      <c r="D3" s="38">
        <v>4</v>
      </c>
      <c r="E3" s="39">
        <f>IF(C20&lt;=25%,D20,MIN(E20:F20))</f>
        <v>314.5</v>
      </c>
      <c r="F3" s="39">
        <f>MIN(H3:H17)</f>
        <v>149.97</v>
      </c>
      <c r="G3" s="6" t="s">
        <v>168</v>
      </c>
      <c r="H3" s="17">
        <v>1257</v>
      </c>
      <c r="I3" s="18" t="str">
        <f>IF(H3="","",(IF($C$20&lt;25%,"n/a",IF(H3&lt;=($D$20+$A$20),H3,"Descartado"))))</f>
        <v>Descartado</v>
      </c>
    </row>
    <row r="4" spans="1:9" x14ac:dyDescent="0.25">
      <c r="A4" s="40"/>
      <c r="B4" s="37"/>
      <c r="C4" s="38"/>
      <c r="D4" s="38"/>
      <c r="E4" s="39"/>
      <c r="F4" s="39"/>
      <c r="G4" s="6" t="s">
        <v>107</v>
      </c>
      <c r="H4" s="17">
        <v>160</v>
      </c>
      <c r="I4" s="18">
        <f t="shared" ref="I4:I17" si="0">IF(H4="","",(IF($C$20&lt;25%,"n/a",IF(H4&lt;=($D$20+$A$20),H4,"Descartado"))))</f>
        <v>160</v>
      </c>
    </row>
    <row r="5" spans="1:9" x14ac:dyDescent="0.25">
      <c r="A5" s="40"/>
      <c r="B5" s="37"/>
      <c r="C5" s="38"/>
      <c r="D5" s="38"/>
      <c r="E5" s="39"/>
      <c r="F5" s="39"/>
      <c r="G5" s="6" t="s">
        <v>169</v>
      </c>
      <c r="H5" s="17">
        <v>330</v>
      </c>
      <c r="I5" s="18">
        <f t="shared" si="0"/>
        <v>330</v>
      </c>
    </row>
    <row r="6" spans="1:9" x14ac:dyDescent="0.25">
      <c r="A6" s="40"/>
      <c r="B6" s="37"/>
      <c r="C6" s="38"/>
      <c r="D6" s="38"/>
      <c r="E6" s="39"/>
      <c r="F6" s="39"/>
      <c r="G6" s="6" t="s">
        <v>115</v>
      </c>
      <c r="H6" s="17">
        <v>259</v>
      </c>
      <c r="I6" s="18">
        <f t="shared" si="0"/>
        <v>259</v>
      </c>
    </row>
    <row r="7" spans="1:9" x14ac:dyDescent="0.25">
      <c r="A7" s="40"/>
      <c r="B7" s="37"/>
      <c r="C7" s="38"/>
      <c r="D7" s="38"/>
      <c r="E7" s="39"/>
      <c r="F7" s="39"/>
      <c r="G7" s="6" t="s">
        <v>121</v>
      </c>
      <c r="H7" s="17">
        <v>1000</v>
      </c>
      <c r="I7" s="18">
        <f t="shared" si="0"/>
        <v>1000</v>
      </c>
    </row>
    <row r="8" spans="1:9" x14ac:dyDescent="0.25">
      <c r="A8" s="40"/>
      <c r="B8" s="37"/>
      <c r="C8" s="38"/>
      <c r="D8" s="38"/>
      <c r="E8" s="39"/>
      <c r="F8" s="39"/>
      <c r="G8" s="6" t="s">
        <v>170</v>
      </c>
      <c r="H8" s="17">
        <v>177.5</v>
      </c>
      <c r="I8" s="18">
        <f t="shared" si="0"/>
        <v>177.5</v>
      </c>
    </row>
    <row r="9" spans="1:9" x14ac:dyDescent="0.25">
      <c r="A9" s="40"/>
      <c r="B9" s="37"/>
      <c r="C9" s="38"/>
      <c r="D9" s="38"/>
      <c r="E9" s="39"/>
      <c r="F9" s="39"/>
      <c r="G9" s="6" t="s">
        <v>109</v>
      </c>
      <c r="H9" s="17">
        <v>160</v>
      </c>
      <c r="I9" s="18">
        <f t="shared" si="0"/>
        <v>160</v>
      </c>
    </row>
    <row r="10" spans="1:9" x14ac:dyDescent="0.25">
      <c r="A10" s="40"/>
      <c r="B10" s="37"/>
      <c r="C10" s="38"/>
      <c r="D10" s="38"/>
      <c r="E10" s="39"/>
      <c r="F10" s="39"/>
      <c r="G10" s="6" t="s">
        <v>171</v>
      </c>
      <c r="H10" s="17">
        <v>1342</v>
      </c>
      <c r="I10" s="18" t="str">
        <f t="shared" si="0"/>
        <v>Descartado</v>
      </c>
    </row>
    <row r="11" spans="1:9" x14ac:dyDescent="0.25">
      <c r="A11" s="40"/>
      <c r="B11" s="37"/>
      <c r="C11" s="38"/>
      <c r="D11" s="38"/>
      <c r="E11" s="39"/>
      <c r="F11" s="39"/>
      <c r="G11" s="6" t="s">
        <v>172</v>
      </c>
      <c r="H11" s="17">
        <v>1650</v>
      </c>
      <c r="I11" s="18" t="str">
        <f t="shared" si="0"/>
        <v>Descartado</v>
      </c>
    </row>
    <row r="12" spans="1:9" x14ac:dyDescent="0.25">
      <c r="A12" s="40"/>
      <c r="B12" s="37"/>
      <c r="C12" s="38"/>
      <c r="D12" s="38"/>
      <c r="E12" s="39"/>
      <c r="F12" s="39"/>
      <c r="G12" s="6" t="s">
        <v>140</v>
      </c>
      <c r="H12" s="17">
        <v>149.97</v>
      </c>
      <c r="I12" s="18">
        <f t="shared" si="0"/>
        <v>149.97</v>
      </c>
    </row>
    <row r="13" spans="1:9" x14ac:dyDescent="0.25">
      <c r="A13" s="40"/>
      <c r="B13" s="37"/>
      <c r="C13" s="38"/>
      <c r="D13" s="38"/>
      <c r="E13" s="39"/>
      <c r="F13" s="39"/>
      <c r="G13" s="6" t="s">
        <v>203</v>
      </c>
      <c r="H13" s="17">
        <v>299</v>
      </c>
      <c r="I13" s="18">
        <f t="shared" si="0"/>
        <v>299</v>
      </c>
    </row>
    <row r="14" spans="1:9" x14ac:dyDescent="0.25">
      <c r="A14" s="40"/>
      <c r="B14" s="37"/>
      <c r="C14" s="38"/>
      <c r="D14" s="38"/>
      <c r="E14" s="39"/>
      <c r="F14" s="39"/>
      <c r="G14" s="6" t="s">
        <v>212</v>
      </c>
      <c r="H14" s="17">
        <v>341.01</v>
      </c>
      <c r="I14" s="18">
        <f t="shared" si="0"/>
        <v>341.01</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8" t="s">
        <v>14</v>
      </c>
      <c r="B19" s="8" t="s">
        <v>15</v>
      </c>
      <c r="C19" s="8" t="s">
        <v>25</v>
      </c>
      <c r="D19" s="8" t="s">
        <v>16</v>
      </c>
      <c r="E19" s="8" t="s">
        <v>17</v>
      </c>
      <c r="F19" s="8" t="s">
        <v>18</v>
      </c>
      <c r="G19" s="34" t="s">
        <v>19</v>
      </c>
      <c r="H19" s="34"/>
    </row>
    <row r="20" spans="1:9" x14ac:dyDescent="0.25">
      <c r="A20" s="9">
        <f>IF(B20&lt;2,"n/a",(_xlfn.STDEV.S(H3:H17)))</f>
        <v>552.6252471612205</v>
      </c>
      <c r="B20" s="9">
        <f>COUNT(H3:H17)</f>
        <v>12</v>
      </c>
      <c r="C20" s="10">
        <f>IF(B20&lt;2,"n/a",(A20/D20))</f>
        <v>0.93067456030115114</v>
      </c>
      <c r="D20" s="11">
        <f>IFERROR(ROUND(AVERAGE(H3:H17),2),"")</f>
        <v>593.79</v>
      </c>
      <c r="E20" s="16">
        <f>IFERROR(ROUND(IF(B20&lt;2,"n/a",(IF(C20&lt;=25%,"n/a",AVERAGE(I3:I17)))),2),"n/a")</f>
        <v>319.61</v>
      </c>
      <c r="F20" s="11">
        <f>IFERROR(ROUND(MEDIAN(H3:H17),2),"")</f>
        <v>314.5</v>
      </c>
      <c r="G20" s="12" t="str">
        <f>IFERROR(INDEX(G3:G17,MATCH(H20,H3:H17,0)),"")</f>
        <v>ISALTEC COMERCIO DE INSTRUMENTOS DE MEDICAO LTDA</v>
      </c>
      <c r="H20" s="13">
        <f>F3</f>
        <v>149.97</v>
      </c>
    </row>
    <row r="22" spans="1:9" x14ac:dyDescent="0.25">
      <c r="G22" s="14" t="s">
        <v>20</v>
      </c>
      <c r="H22" s="15">
        <f>IF(C20&lt;=25%,D20,MIN(E20:F20))</f>
        <v>314.5</v>
      </c>
    </row>
    <row r="23" spans="1:9" x14ac:dyDescent="0.25">
      <c r="G23" s="14" t="s">
        <v>6</v>
      </c>
      <c r="H23" s="15">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8" t="s">
        <v>1</v>
      </c>
      <c r="B2" s="8" t="s">
        <v>2</v>
      </c>
      <c r="C2" s="8" t="s">
        <v>3</v>
      </c>
      <c r="D2" s="8" t="s">
        <v>4</v>
      </c>
      <c r="E2" s="8" t="s">
        <v>9</v>
      </c>
      <c r="F2" s="8" t="s">
        <v>10</v>
      </c>
      <c r="G2" s="8" t="s">
        <v>11</v>
      </c>
      <c r="H2" s="8" t="s">
        <v>12</v>
      </c>
      <c r="I2" s="8" t="s">
        <v>13</v>
      </c>
    </row>
    <row r="3" spans="1:9" x14ac:dyDescent="0.25">
      <c r="A3" s="40">
        <v>27</v>
      </c>
      <c r="B3" s="36" t="s">
        <v>60</v>
      </c>
      <c r="C3" s="38" t="s">
        <v>7</v>
      </c>
      <c r="D3" s="38">
        <v>2</v>
      </c>
      <c r="E3" s="39">
        <f>IF(C20&lt;=25%,D20,MIN(E20:F20))</f>
        <v>2336.66</v>
      </c>
      <c r="F3" s="39">
        <f>MIN(H3:H17)</f>
        <v>985</v>
      </c>
      <c r="G3" s="6" t="s">
        <v>169</v>
      </c>
      <c r="H3" s="17">
        <v>985</v>
      </c>
      <c r="I3" s="18">
        <f>IF(H3="","",(IF($C$20&lt;25%,"n/a",IF(H3&lt;=($D$20+$A$20),H3,"Descartado"))))</f>
        <v>985</v>
      </c>
    </row>
    <row r="4" spans="1:9" x14ac:dyDescent="0.25">
      <c r="A4" s="40"/>
      <c r="B4" s="37"/>
      <c r="C4" s="38"/>
      <c r="D4" s="38"/>
      <c r="E4" s="39"/>
      <c r="F4" s="39"/>
      <c r="G4" s="6" t="s">
        <v>173</v>
      </c>
      <c r="H4" s="17">
        <v>1750</v>
      </c>
      <c r="I4" s="18">
        <f t="shared" ref="I4:I17" si="0">IF(H4="","",(IF($C$20&lt;25%,"n/a",IF(H4&lt;=($D$20+$A$20),H4,"Descartado"))))</f>
        <v>1750</v>
      </c>
    </row>
    <row r="5" spans="1:9" x14ac:dyDescent="0.25">
      <c r="A5" s="40"/>
      <c r="B5" s="37"/>
      <c r="C5" s="38"/>
      <c r="D5" s="38"/>
      <c r="E5" s="39"/>
      <c r="F5" s="39"/>
      <c r="G5" s="6" t="s">
        <v>174</v>
      </c>
      <c r="H5" s="17">
        <v>3775.12</v>
      </c>
      <c r="I5" s="18" t="str">
        <f t="shared" si="0"/>
        <v>Descartado</v>
      </c>
    </row>
    <row r="6" spans="1:9" x14ac:dyDescent="0.25">
      <c r="A6" s="40"/>
      <c r="B6" s="37"/>
      <c r="C6" s="38"/>
      <c r="D6" s="38"/>
      <c r="E6" s="39"/>
      <c r="F6" s="39"/>
      <c r="G6" s="6" t="s">
        <v>107</v>
      </c>
      <c r="H6" s="17">
        <v>1449.99</v>
      </c>
      <c r="I6" s="18">
        <f t="shared" si="0"/>
        <v>1449.99</v>
      </c>
    </row>
    <row r="7" spans="1:9" x14ac:dyDescent="0.25">
      <c r="A7" s="40"/>
      <c r="B7" s="37"/>
      <c r="C7" s="38"/>
      <c r="D7" s="38"/>
      <c r="E7" s="39"/>
      <c r="F7" s="39"/>
      <c r="G7" s="6" t="s">
        <v>135</v>
      </c>
      <c r="H7" s="17">
        <v>1738.77</v>
      </c>
      <c r="I7" s="18">
        <f t="shared" si="0"/>
        <v>1738.77</v>
      </c>
    </row>
    <row r="8" spans="1:9" x14ac:dyDescent="0.25">
      <c r="A8" s="40"/>
      <c r="B8" s="37"/>
      <c r="C8" s="38"/>
      <c r="D8" s="38"/>
      <c r="E8" s="39"/>
      <c r="F8" s="39"/>
      <c r="G8" s="6" t="s">
        <v>175</v>
      </c>
      <c r="H8" s="17">
        <v>2582</v>
      </c>
      <c r="I8" s="18">
        <f t="shared" si="0"/>
        <v>2582</v>
      </c>
    </row>
    <row r="9" spans="1:9" x14ac:dyDescent="0.25">
      <c r="A9" s="40"/>
      <c r="B9" s="37"/>
      <c r="C9" s="38"/>
      <c r="D9" s="38"/>
      <c r="E9" s="39"/>
      <c r="F9" s="39"/>
      <c r="G9" s="6" t="s">
        <v>213</v>
      </c>
      <c r="H9" s="17">
        <v>3179.25</v>
      </c>
      <c r="I9" s="18">
        <f t="shared" si="0"/>
        <v>3179.25</v>
      </c>
    </row>
    <row r="10" spans="1:9" x14ac:dyDescent="0.25">
      <c r="A10" s="40"/>
      <c r="B10" s="37"/>
      <c r="C10" s="38"/>
      <c r="D10" s="38"/>
      <c r="E10" s="39"/>
      <c r="F10" s="39"/>
      <c r="G10" s="6" t="s">
        <v>179</v>
      </c>
      <c r="H10" s="17">
        <v>3484.8</v>
      </c>
      <c r="I10" s="18">
        <f t="shared" si="0"/>
        <v>3484.8</v>
      </c>
    </row>
    <row r="11" spans="1:9" x14ac:dyDescent="0.25">
      <c r="A11" s="40"/>
      <c r="B11" s="37"/>
      <c r="C11" s="38"/>
      <c r="D11" s="38"/>
      <c r="E11" s="39"/>
      <c r="F11" s="39"/>
      <c r="G11" s="6" t="s">
        <v>211</v>
      </c>
      <c r="H11" s="17">
        <v>3523.43</v>
      </c>
      <c r="I11" s="18">
        <f t="shared" si="0"/>
        <v>3523.43</v>
      </c>
    </row>
    <row r="12" spans="1:9" x14ac:dyDescent="0.25">
      <c r="A12" s="40"/>
      <c r="B12" s="37"/>
      <c r="C12" s="38"/>
      <c r="D12" s="38"/>
      <c r="E12" s="39"/>
      <c r="F12" s="39"/>
      <c r="G12" s="6"/>
      <c r="H12" s="17"/>
      <c r="I12" s="18" t="str">
        <f t="shared" si="0"/>
        <v/>
      </c>
    </row>
    <row r="13" spans="1:9" x14ac:dyDescent="0.25">
      <c r="A13" s="40"/>
      <c r="B13" s="37"/>
      <c r="C13" s="38"/>
      <c r="D13" s="38"/>
      <c r="E13" s="39"/>
      <c r="F13" s="39"/>
      <c r="G13" s="6"/>
      <c r="H13" s="17"/>
      <c r="I13" s="18" t="str">
        <f t="shared" si="0"/>
        <v/>
      </c>
    </row>
    <row r="14" spans="1:9" x14ac:dyDescent="0.25">
      <c r="A14" s="40"/>
      <c r="B14" s="37"/>
      <c r="C14" s="38"/>
      <c r="D14" s="38"/>
      <c r="E14" s="39"/>
      <c r="F14" s="39"/>
      <c r="G14" s="6"/>
      <c r="H14" s="17"/>
      <c r="I14" s="18" t="str">
        <f t="shared" si="0"/>
        <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8" t="s">
        <v>14</v>
      </c>
      <c r="B19" s="8" t="s">
        <v>15</v>
      </c>
      <c r="C19" s="8" t="s">
        <v>25</v>
      </c>
      <c r="D19" s="8" t="s">
        <v>16</v>
      </c>
      <c r="E19" s="8" t="s">
        <v>17</v>
      </c>
      <c r="F19" s="8" t="s">
        <v>18</v>
      </c>
      <c r="G19" s="34" t="s">
        <v>19</v>
      </c>
      <c r="H19" s="34"/>
    </row>
    <row r="20" spans="1:9" x14ac:dyDescent="0.25">
      <c r="A20" s="9">
        <f>IF(B20&lt;2,"n/a",(_xlfn.STDEV.S(H3:H17)))</f>
        <v>1039.8846968908506</v>
      </c>
      <c r="B20" s="9">
        <f>COUNT(H3:H17)</f>
        <v>9</v>
      </c>
      <c r="C20" s="10">
        <f>IF(B20&lt;2,"n/a",(A20/D20))</f>
        <v>0.41654036759391244</v>
      </c>
      <c r="D20" s="11">
        <f>IFERROR(ROUND(AVERAGE(H3:H17),2),"")</f>
        <v>2496.48</v>
      </c>
      <c r="E20" s="16">
        <f>IFERROR(ROUND(IF(B20&lt;2,"n/a",(IF(C20&lt;=25%,"n/a",AVERAGE(I3:I17)))),2),"n/a")</f>
        <v>2336.66</v>
      </c>
      <c r="F20" s="11">
        <f>IFERROR(ROUND(MEDIAN(H3:H17),2),"")</f>
        <v>2582</v>
      </c>
      <c r="G20" s="12" t="str">
        <f>IFERROR(INDEX(G3:G17,MATCH(H20,H3:H17,0)),"")</f>
        <v>R JUAREZ DE ALMEIDA</v>
      </c>
      <c r="H20" s="13">
        <f>F3</f>
        <v>985</v>
      </c>
    </row>
    <row r="22" spans="1:9" x14ac:dyDescent="0.25">
      <c r="G22" s="14" t="s">
        <v>20</v>
      </c>
      <c r="H22" s="15">
        <f>IF(C20&lt;=25%,D20,MIN(E20:F20))</f>
        <v>2336.66</v>
      </c>
    </row>
    <row r="23" spans="1:9" x14ac:dyDescent="0.25">
      <c r="G23" s="14" t="s">
        <v>6</v>
      </c>
      <c r="H23" s="15">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tabSelected="1" view="pageBreakPreview" zoomScaleNormal="100" zoomScaleSheetLayoutView="100" workbookViewId="0">
      <selection activeCell="C3" sqref="C3"/>
    </sheetView>
  </sheetViews>
  <sheetFormatPr defaultRowHeight="15" x14ac:dyDescent="0.25"/>
  <cols>
    <col min="1" max="2" width="6.7109375" style="1" customWidth="1"/>
    <col min="3" max="3" width="36.7109375" style="5" customWidth="1"/>
    <col min="4" max="4" width="12.7109375" style="1" customWidth="1"/>
    <col min="5" max="5" width="9.28515625" style="1" bestFit="1" customWidth="1"/>
    <col min="6" max="7" width="15.7109375" style="1" customWidth="1"/>
    <col min="8" max="16384" width="9.140625" style="1"/>
  </cols>
  <sheetData>
    <row r="1" spans="1:7" ht="15.75" x14ac:dyDescent="0.25">
      <c r="A1" s="41" t="s">
        <v>0</v>
      </c>
      <c r="B1" s="41"/>
      <c r="C1" s="41"/>
      <c r="D1" s="41"/>
      <c r="E1" s="41"/>
      <c r="F1" s="41"/>
      <c r="G1" s="41"/>
    </row>
    <row r="2" spans="1:7" ht="24" x14ac:dyDescent="0.25">
      <c r="A2" s="7" t="s">
        <v>29</v>
      </c>
      <c r="B2" s="7" t="s">
        <v>1</v>
      </c>
      <c r="C2" s="7" t="s">
        <v>2</v>
      </c>
      <c r="D2" s="7" t="s">
        <v>3</v>
      </c>
      <c r="E2" s="7" t="s">
        <v>4</v>
      </c>
      <c r="F2" s="7" t="s">
        <v>5</v>
      </c>
      <c r="G2" s="7" t="s">
        <v>30</v>
      </c>
    </row>
    <row r="3" spans="1:7" ht="120" x14ac:dyDescent="0.25">
      <c r="A3" s="27">
        <v>1</v>
      </c>
      <c r="B3" s="27">
        <f>Item1!A3</f>
        <v>1</v>
      </c>
      <c r="C3" s="29" t="str">
        <f>Item1!B3</f>
        <v>Câmeras fotográficas DSLR; sensor CMOS full frame (36x24mm); resolução efetiva de 30.4 megapixels; processador DIGIC 6+; dual pixel raw; autofoco com 61 pontos selecionáveis; montagem de lente tipo EF; gravação de vídeos em 4K; tela LCD de 3,2" sensível ao toque, cabo de carregamento.</v>
      </c>
      <c r="D3" s="27" t="str">
        <f>Item1!C3</f>
        <v>unidade</v>
      </c>
      <c r="E3" s="27">
        <f>Item1!D3</f>
        <v>2</v>
      </c>
      <c r="F3" s="28">
        <f>Item1!E3</f>
        <v>4600</v>
      </c>
      <c r="G3" s="28">
        <f>ROUND((E3*F3),2)</f>
        <v>9200</v>
      </c>
    </row>
    <row r="4" spans="1:7" ht="105" x14ac:dyDescent="0.25">
      <c r="A4" s="27">
        <v>1</v>
      </c>
      <c r="B4" s="27">
        <f>Item2!A3</f>
        <v>2</v>
      </c>
      <c r="C4" s="29" t="str">
        <f>Item2!B3</f>
        <v>Tripé Para Câmera Profissional: Tripé Material: Alumínio , Altura Máxima: 1,80m, Peso: 1,3Kg, Tipo Cabeça: Giratória 360º , Capacidade Cabeça: 15 Kg, Aplicação: Câmera Fotográfica ou Filmadora , Quantidade Hastes: 3, Altura Mínima: 83cm</v>
      </c>
      <c r="D4" s="27" t="str">
        <f>Item2!C3</f>
        <v>unidade</v>
      </c>
      <c r="E4" s="27">
        <f>Item2!D3</f>
        <v>2</v>
      </c>
      <c r="F4" s="28">
        <f>Item2!E3</f>
        <v>1669.25</v>
      </c>
      <c r="G4" s="28">
        <f t="shared" ref="G4:G29" si="0">ROUND((E4*F4),2)</f>
        <v>3338.5</v>
      </c>
    </row>
    <row r="5" spans="1:7" ht="90" x14ac:dyDescent="0.25">
      <c r="A5" s="27">
        <v>1</v>
      </c>
      <c r="B5" s="27">
        <f>Item3!A3</f>
        <v>3</v>
      </c>
      <c r="C5" s="29" t="str">
        <f>Item3!B3</f>
        <v>Bateria para câmeras DSLR e mirrorless; tipo lítio-íon recarregável; compatível com as câmeras especificadas e originais da mesma marca; capacidade de 2130 Mah; tensão de saída de 7.2v.</v>
      </c>
      <c r="D5" s="27" t="str">
        <f>Item3!C3</f>
        <v>unidade</v>
      </c>
      <c r="E5" s="27">
        <f>Item3!D3</f>
        <v>6</v>
      </c>
      <c r="F5" s="28">
        <f>Item3!E3</f>
        <v>296.49</v>
      </c>
      <c r="G5" s="28">
        <f t="shared" si="0"/>
        <v>1778.94</v>
      </c>
    </row>
    <row r="6" spans="1:7" ht="105" x14ac:dyDescent="0.25">
      <c r="A6" s="27">
        <v>1</v>
      </c>
      <c r="B6" s="27">
        <f>Item4!A3</f>
        <v>4</v>
      </c>
      <c r="C6" s="29" t="str">
        <f>Item4!B3</f>
        <v>Lente 50mm
Lente compatível com sensor full frame (35 mm) e distância focal fixa 50 mm; Abertura máxima f/1.8; Abertura mínima f/22; 7 lâminas de abertura do diafragma; compatível com sistema do corpo da câmera do item 1.</v>
      </c>
      <c r="D6" s="27" t="str">
        <f>Item4!C3</f>
        <v>unidade</v>
      </c>
      <c r="E6" s="27">
        <f>Item4!D3</f>
        <v>2</v>
      </c>
      <c r="F6" s="28">
        <f>Item4!E3</f>
        <v>1386.39</v>
      </c>
      <c r="G6" s="28">
        <f t="shared" si="0"/>
        <v>2772.78</v>
      </c>
    </row>
    <row r="7" spans="1:7" ht="195" x14ac:dyDescent="0.25">
      <c r="A7" s="27">
        <v>1</v>
      </c>
      <c r="B7" s="27">
        <f>Item5!A3</f>
        <v>5</v>
      </c>
      <c r="C7" s="29" t="str">
        <f>Item5!B3</f>
        <v>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v>
      </c>
      <c r="D7" s="27" t="str">
        <f>Item5!C3</f>
        <v>unidade</v>
      </c>
      <c r="E7" s="27">
        <f>Item5!D3</f>
        <v>1</v>
      </c>
      <c r="F7" s="28">
        <f>Item5!E3</f>
        <v>7540.83</v>
      </c>
      <c r="G7" s="28">
        <f t="shared" si="0"/>
        <v>7540.83</v>
      </c>
    </row>
    <row r="8" spans="1:7" ht="105" x14ac:dyDescent="0.25">
      <c r="A8" s="27">
        <v>1</v>
      </c>
      <c r="B8" s="27">
        <f>Item6!A3</f>
        <v>6</v>
      </c>
      <c r="C8" s="29" t="str">
        <f>Item6!B3</f>
        <v>Flash para câmera fotográfica DSLR.
Flash Tipo: Speedlite 550 EX, Compatibilidade Equipamento: Câmera digital com controle do Flash Automático , Tipo Alimentação: Pilha , Dimensões: 210 X 95 X 80 mm, Características Adicionais: Cabeça Móvel.</v>
      </c>
      <c r="D8" s="27" t="str">
        <f>Item6!C3</f>
        <v>unidade</v>
      </c>
      <c r="E8" s="27">
        <f>Item6!D3</f>
        <v>2</v>
      </c>
      <c r="F8" s="28">
        <f>Item6!E3</f>
        <v>1062.4100000000001</v>
      </c>
      <c r="G8" s="28">
        <f t="shared" si="0"/>
        <v>2124.8200000000002</v>
      </c>
    </row>
    <row r="9" spans="1:7" ht="270" x14ac:dyDescent="0.25">
      <c r="A9" s="27">
        <v>1</v>
      </c>
      <c r="B9" s="27">
        <f>Item7!A3</f>
        <v>7</v>
      </c>
      <c r="C9" s="29" t="str">
        <f>Item7!B3</f>
        <v>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v>
      </c>
      <c r="D9" s="27" t="str">
        <f>Item7!C3</f>
        <v>unidade</v>
      </c>
      <c r="E9" s="27">
        <f>Item7!D3</f>
        <v>2</v>
      </c>
      <c r="F9" s="28">
        <f>Item7!E3</f>
        <v>232.66</v>
      </c>
      <c r="G9" s="28">
        <f t="shared" si="0"/>
        <v>465.32</v>
      </c>
    </row>
    <row r="10" spans="1:7" ht="135" x14ac:dyDescent="0.25">
      <c r="A10" s="27">
        <v>1</v>
      </c>
      <c r="B10" s="27">
        <f>Item8!A3</f>
        <v>8</v>
      </c>
      <c r="C10" s="29" t="str">
        <f>Item8!B3</f>
        <v>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v>
      </c>
      <c r="D10" s="27" t="str">
        <f>Item8!C3</f>
        <v>unidade</v>
      </c>
      <c r="E10" s="27">
        <f>Item8!D3</f>
        <v>1</v>
      </c>
      <c r="F10" s="28">
        <f>Item8!E3</f>
        <v>1797.62</v>
      </c>
      <c r="G10" s="28">
        <f t="shared" si="0"/>
        <v>1797.62</v>
      </c>
    </row>
    <row r="11" spans="1:7" ht="90" x14ac:dyDescent="0.25">
      <c r="A11" s="27">
        <v>2</v>
      </c>
      <c r="B11" s="27">
        <f>Item9!A3</f>
        <v>9</v>
      </c>
      <c r="C11" s="29" t="str">
        <f>Item9!B3</f>
        <v>Microfone condensador
Microfone Direcional Tipo Linha: a Condensador , Tipo: Centraverse Shure Cvb-B/O, Conexão: Cabo De 12 Polegadas, Padrão: Omnidirecional de mesa.</v>
      </c>
      <c r="D11" s="27" t="str">
        <f>Item9!C3</f>
        <v>unidade</v>
      </c>
      <c r="E11" s="27">
        <f>Item9!D3</f>
        <v>4</v>
      </c>
      <c r="F11" s="28">
        <f>Item9!E3</f>
        <v>684.5</v>
      </c>
      <c r="G11" s="28">
        <f t="shared" si="0"/>
        <v>2738</v>
      </c>
    </row>
    <row r="12" spans="1:7" ht="90" x14ac:dyDescent="0.25">
      <c r="A12" s="27">
        <v>2</v>
      </c>
      <c r="B12" s="27">
        <f>Item10!A3</f>
        <v>10</v>
      </c>
      <c r="C12" s="29" t="str">
        <f>Item10!B3</f>
        <v>Tripé Para Microfone Para Podcast:
Pedestal de microfone para mesa portátil. Com ajuste de ângulo Altura mínima 20cm, altura máxima 50cm. O tripé precisa ser compatível com os microfones do item 9.</v>
      </c>
      <c r="D12" s="27" t="str">
        <f>Item10!C3</f>
        <v>unidade</v>
      </c>
      <c r="E12" s="27">
        <f>Item10!D3</f>
        <v>4</v>
      </c>
      <c r="F12" s="28">
        <f>Item10!E3</f>
        <v>96.78</v>
      </c>
      <c r="G12" s="28">
        <f t="shared" si="0"/>
        <v>387.12</v>
      </c>
    </row>
    <row r="13" spans="1:7" ht="150" x14ac:dyDescent="0.25">
      <c r="A13" s="27" t="s">
        <v>61</v>
      </c>
      <c r="B13" s="27">
        <f>Item11!A3</f>
        <v>11</v>
      </c>
      <c r="C13" s="29" t="str">
        <f>Item11!B3</f>
        <v>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v>
      </c>
      <c r="D13" s="27" t="str">
        <f>Item11!C3</f>
        <v>unidade</v>
      </c>
      <c r="E13" s="27">
        <f>Item11!D3</f>
        <v>2</v>
      </c>
      <c r="F13" s="28">
        <f>Item11!E3</f>
        <v>317.42</v>
      </c>
      <c r="G13" s="28">
        <f t="shared" si="0"/>
        <v>634.84</v>
      </c>
    </row>
    <row r="14" spans="1:7" ht="210" x14ac:dyDescent="0.25">
      <c r="A14" s="27" t="s">
        <v>61</v>
      </c>
      <c r="B14" s="27">
        <f>Item12!A3</f>
        <v>12</v>
      </c>
      <c r="C14" s="29" t="str">
        <f>Item12!B3</f>
        <v>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v>
      </c>
      <c r="D14" s="27" t="str">
        <f>Item12!C3</f>
        <v>unidade</v>
      </c>
      <c r="E14" s="27">
        <f>Item12!D3</f>
        <v>1</v>
      </c>
      <c r="F14" s="28">
        <f>Item12!E3</f>
        <v>808.95</v>
      </c>
      <c r="G14" s="28">
        <f t="shared" si="0"/>
        <v>808.95</v>
      </c>
    </row>
    <row r="15" spans="1:7" ht="210" x14ac:dyDescent="0.25">
      <c r="A15" s="27" t="s">
        <v>61</v>
      </c>
      <c r="B15" s="27">
        <f>Item13!A3</f>
        <v>13</v>
      </c>
      <c r="C15" s="29" t="str">
        <f>Item13!B3</f>
        <v>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v>
      </c>
      <c r="D15" s="27" t="str">
        <f>Item13!C3</f>
        <v>unidade</v>
      </c>
      <c r="E15" s="27">
        <f>Item13!D3</f>
        <v>2</v>
      </c>
      <c r="F15" s="28">
        <f>Item13!E3</f>
        <v>733.15</v>
      </c>
      <c r="G15" s="28">
        <f t="shared" si="0"/>
        <v>1466.3</v>
      </c>
    </row>
    <row r="16" spans="1:7" ht="60" x14ac:dyDescent="0.25">
      <c r="A16" s="27" t="s">
        <v>61</v>
      </c>
      <c r="B16" s="27">
        <f>Item14!A3</f>
        <v>14</v>
      </c>
      <c r="C16" s="29" t="str">
        <f>Item14!B3</f>
        <v>Microfone sem fio omnidirecional de cabeça com bateria de lítio recarregável compatível com câmera de vídeo e smartphone laptop PC.</v>
      </c>
      <c r="D16" s="27" t="str">
        <f>Item14!C3</f>
        <v>unidade</v>
      </c>
      <c r="E16" s="27">
        <f>Item14!D3</f>
        <v>2</v>
      </c>
      <c r="F16" s="28">
        <f>Item14!E3</f>
        <v>450</v>
      </c>
      <c r="G16" s="28">
        <f t="shared" si="0"/>
        <v>900</v>
      </c>
    </row>
    <row r="17" spans="1:7" ht="360" x14ac:dyDescent="0.25">
      <c r="A17" s="27" t="s">
        <v>61</v>
      </c>
      <c r="B17" s="27">
        <f>Item15!A3</f>
        <v>15</v>
      </c>
      <c r="C17" s="29" t="str">
        <f>Item15!B3</f>
        <v>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v>
      </c>
      <c r="D17" s="27" t="str">
        <f>Item15!C3</f>
        <v>unidade</v>
      </c>
      <c r="E17" s="27">
        <f>Item15!D3</f>
        <v>1</v>
      </c>
      <c r="F17" s="28">
        <f>Item15!E3</f>
        <v>793.68</v>
      </c>
      <c r="G17" s="28">
        <f t="shared" si="0"/>
        <v>793.68</v>
      </c>
    </row>
    <row r="18" spans="1:7" ht="135" x14ac:dyDescent="0.25">
      <c r="A18" s="27" t="s">
        <v>61</v>
      </c>
      <c r="B18" s="27">
        <f>Item16!A3</f>
        <v>16</v>
      </c>
      <c r="C18" s="29" t="str">
        <f>Item16!B3</f>
        <v>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v>
      </c>
      <c r="D18" s="27" t="str">
        <f>Item16!C3</f>
        <v>unidade</v>
      </c>
      <c r="E18" s="27">
        <f>Item16!D3</f>
        <v>1</v>
      </c>
      <c r="F18" s="28">
        <f>Item16!E3</f>
        <v>2798</v>
      </c>
      <c r="G18" s="28">
        <f t="shared" si="0"/>
        <v>2798</v>
      </c>
    </row>
    <row r="19" spans="1:7" ht="120" x14ac:dyDescent="0.25">
      <c r="A19" s="27" t="s">
        <v>61</v>
      </c>
      <c r="B19" s="27">
        <f>Item17!A3</f>
        <v>17</v>
      </c>
      <c r="C19" s="29" t="str">
        <f>Item17!B3</f>
        <v>Mesa digitalizadora, tecnologia eletromagnética, resolução 2540, com 2048 níveis de pressão, área ativa aproximada de 152x95mm, conexão: cabo USB tipo A om aproximadamente 1,5m, caneta sem fio e sem pilhas com 03 ou mais pontas adicionais e ferramenta de extração da ponta.</v>
      </c>
      <c r="D19" s="27" t="str">
        <f>Item17!C3</f>
        <v>unidade</v>
      </c>
      <c r="E19" s="27">
        <f>Item17!D3</f>
        <v>1</v>
      </c>
      <c r="F19" s="28">
        <f>Item17!E3</f>
        <v>420.75</v>
      </c>
      <c r="G19" s="28">
        <f t="shared" si="0"/>
        <v>420.75</v>
      </c>
    </row>
    <row r="20" spans="1:7" ht="135" x14ac:dyDescent="0.25">
      <c r="A20" s="27" t="s">
        <v>61</v>
      </c>
      <c r="B20" s="27">
        <f>Item18!A3</f>
        <v>18</v>
      </c>
      <c r="C20" s="29" t="str">
        <f>Item18!B3</f>
        <v>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v>
      </c>
      <c r="D20" s="27" t="str">
        <f>Item18!C3</f>
        <v>unidade</v>
      </c>
      <c r="E20" s="27">
        <f>Item18!D3</f>
        <v>1</v>
      </c>
      <c r="F20" s="28">
        <f>Item18!E3</f>
        <v>93.27</v>
      </c>
      <c r="G20" s="28">
        <f t="shared" si="0"/>
        <v>93.27</v>
      </c>
    </row>
    <row r="21" spans="1:7" ht="105" x14ac:dyDescent="0.25">
      <c r="A21" s="27" t="s">
        <v>61</v>
      </c>
      <c r="B21" s="27">
        <f>Item19!A3</f>
        <v>19</v>
      </c>
      <c r="C21" s="29" t="str">
        <f>Item19!B3</f>
        <v>Headset - Fone de Ouvido
Frequência de resposta - 10 - 20000Hz THD, distorção harmônica total de 0,1%; Acoplamento de ouvido circumaural; Plug estéreo de 3,5mm; Cabo com extensão mínima de 1,8m; Atenuação de ruídos de 30 dB.</v>
      </c>
      <c r="D21" s="27" t="str">
        <f>Item19!C3</f>
        <v>unidade</v>
      </c>
      <c r="E21" s="27">
        <f>Item19!D3</f>
        <v>2</v>
      </c>
      <c r="F21" s="28">
        <f>Item19!E3</f>
        <v>741.85</v>
      </c>
      <c r="G21" s="28">
        <f t="shared" si="0"/>
        <v>1483.7</v>
      </c>
    </row>
    <row r="22" spans="1:7" ht="75" x14ac:dyDescent="0.25">
      <c r="A22" s="27" t="s">
        <v>61</v>
      </c>
      <c r="B22" s="27">
        <f>Item20!A3</f>
        <v>20</v>
      </c>
      <c r="C22" s="29" t="str">
        <f>Item20!B3</f>
        <v>Cartão de memória SD UHS-II V90;
capacidade de armazenamento de 128 GB; velocidade de gravação de até 250 MB/s; velocidade de leitura de 300 MB/s.</v>
      </c>
      <c r="D22" s="27" t="str">
        <f>Item20!C3</f>
        <v>unidade</v>
      </c>
      <c r="E22" s="27">
        <f>Item20!D3</f>
        <v>8</v>
      </c>
      <c r="F22" s="28">
        <f>Item20!E3</f>
        <v>1288.28</v>
      </c>
      <c r="G22" s="28">
        <f t="shared" si="0"/>
        <v>10306.24</v>
      </c>
    </row>
    <row r="23" spans="1:7" ht="210" x14ac:dyDescent="0.25">
      <c r="A23" s="27" t="s">
        <v>61</v>
      </c>
      <c r="B23" s="27">
        <f>Item21!A3</f>
        <v>21</v>
      </c>
      <c r="C23" s="29" t="str">
        <f>Item21!B3</f>
        <v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v>
      </c>
      <c r="D23" s="27" t="str">
        <f>Item21!C3</f>
        <v>unidade</v>
      </c>
      <c r="E23" s="27">
        <f>Item21!D3</f>
        <v>2</v>
      </c>
      <c r="F23" s="28">
        <f>Item21!E3</f>
        <v>454.84</v>
      </c>
      <c r="G23" s="28">
        <f t="shared" si="0"/>
        <v>909.68</v>
      </c>
    </row>
    <row r="24" spans="1:7" ht="315" x14ac:dyDescent="0.25">
      <c r="A24" s="27" t="s">
        <v>61</v>
      </c>
      <c r="B24" s="27">
        <f>Item22!A3</f>
        <v>22</v>
      </c>
      <c r="C24" s="29" t="str">
        <f>Item22!B3</f>
        <v>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v>
      </c>
      <c r="D24" s="27" t="str">
        <f>Item22!C3</f>
        <v>unidade</v>
      </c>
      <c r="E24" s="27">
        <f>Item22!D3</f>
        <v>15</v>
      </c>
      <c r="F24" s="28">
        <f>Item22!E3</f>
        <v>1692.18</v>
      </c>
      <c r="G24" s="28">
        <f t="shared" si="0"/>
        <v>25382.7</v>
      </c>
    </row>
    <row r="25" spans="1:7" ht="409.5" x14ac:dyDescent="0.25">
      <c r="A25" s="27" t="s">
        <v>61</v>
      </c>
      <c r="B25" s="27">
        <f>Item23!A3</f>
        <v>23</v>
      </c>
      <c r="C25" s="29" t="str">
        <f>Item23!B3</f>
        <v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v>
      </c>
      <c r="D25" s="27" t="str">
        <f>Item23!C3</f>
        <v>unidade</v>
      </c>
      <c r="E25" s="27">
        <f>Item23!D3</f>
        <v>1</v>
      </c>
      <c r="F25" s="28">
        <f>Item23!E3</f>
        <v>2269.12</v>
      </c>
      <c r="G25" s="28">
        <f t="shared" si="0"/>
        <v>2269.12</v>
      </c>
    </row>
    <row r="26" spans="1:7" ht="150" x14ac:dyDescent="0.25">
      <c r="A26" s="27" t="s">
        <v>61</v>
      </c>
      <c r="B26" s="27">
        <f>Item24!A3</f>
        <v>24</v>
      </c>
      <c r="C26" s="29" t="str">
        <f>Item24!B3</f>
        <v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v>
      </c>
      <c r="D26" s="27" t="str">
        <f>Item24!C3</f>
        <v>unidade</v>
      </c>
      <c r="E26" s="27">
        <f>Item24!D3</f>
        <v>6</v>
      </c>
      <c r="F26" s="28">
        <f>Item24!E3</f>
        <v>150.47</v>
      </c>
      <c r="G26" s="28">
        <f t="shared" si="0"/>
        <v>902.82</v>
      </c>
    </row>
    <row r="27" spans="1:7" ht="240" x14ac:dyDescent="0.25">
      <c r="A27" s="27" t="s">
        <v>61</v>
      </c>
      <c r="B27" s="27">
        <f>Item25!A3</f>
        <v>25</v>
      </c>
      <c r="C27" s="29" t="str">
        <f>Item25!B3</f>
        <v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v>
      </c>
      <c r="D27" s="27" t="str">
        <f>Item25!C3</f>
        <v>unidade</v>
      </c>
      <c r="E27" s="27">
        <f>Item25!D3</f>
        <v>2</v>
      </c>
      <c r="F27" s="28">
        <f>Item25!E3</f>
        <v>701.53</v>
      </c>
      <c r="G27" s="28">
        <f t="shared" si="0"/>
        <v>1403.06</v>
      </c>
    </row>
    <row r="28" spans="1:7" ht="150" x14ac:dyDescent="0.25">
      <c r="A28" s="27" t="s">
        <v>61</v>
      </c>
      <c r="B28" s="27">
        <f>Item26!A3</f>
        <v>26</v>
      </c>
      <c r="C28" s="29" t="str">
        <f>Item26!B3</f>
        <v>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v>
      </c>
      <c r="D28" s="27" t="str">
        <f>Item26!C3</f>
        <v>unidade</v>
      </c>
      <c r="E28" s="27">
        <f>Item26!D3</f>
        <v>4</v>
      </c>
      <c r="F28" s="28">
        <f>Item26!E3</f>
        <v>314.5</v>
      </c>
      <c r="G28" s="28">
        <f t="shared" si="0"/>
        <v>1258</v>
      </c>
    </row>
    <row r="29" spans="1:7" ht="300" x14ac:dyDescent="0.25">
      <c r="A29" s="27" t="s">
        <v>61</v>
      </c>
      <c r="B29" s="27">
        <f>Item27!A3</f>
        <v>27</v>
      </c>
      <c r="C29" s="29" t="str">
        <f>Item27!B3</f>
        <v>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v>
      </c>
      <c r="D29" s="27" t="str">
        <f>Item27!C3</f>
        <v>unidade</v>
      </c>
      <c r="E29" s="27">
        <f>Item27!D3</f>
        <v>2</v>
      </c>
      <c r="F29" s="28">
        <f>Item27!E3</f>
        <v>2336.66</v>
      </c>
      <c r="G29" s="28">
        <f t="shared" si="0"/>
        <v>4673.32</v>
      </c>
    </row>
    <row r="30" spans="1:7" x14ac:dyDescent="0.25">
      <c r="A30" s="30"/>
      <c r="B30" s="30"/>
      <c r="C30" s="31"/>
      <c r="D30" s="32"/>
      <c r="E30" s="32"/>
      <c r="F30" s="33"/>
      <c r="G30" s="33"/>
    </row>
    <row r="31" spans="1:7" ht="15.75" thickBot="1" x14ac:dyDescent="0.3"/>
    <row r="32" spans="1:7" ht="16.5" thickTop="1" thickBot="1" x14ac:dyDescent="0.3">
      <c r="D32" s="24"/>
      <c r="E32" s="25" t="s">
        <v>33</v>
      </c>
      <c r="F32" s="26">
        <f>SUM(G:G)</f>
        <v>88648.359999999986</v>
      </c>
    </row>
    <row r="33" spans="4:6" ht="15.75" thickTop="1" x14ac:dyDescent="0.25">
      <c r="F33" s="3"/>
    </row>
    <row r="34" spans="4:6" x14ac:dyDescent="0.25">
      <c r="D34" s="23" t="s">
        <v>32</v>
      </c>
      <c r="E34" s="14">
        <f>MAX(A:A)</f>
        <v>2</v>
      </c>
    </row>
    <row r="36" spans="4:6" x14ac:dyDescent="0.25">
      <c r="D36" s="20" t="s">
        <v>31</v>
      </c>
      <c r="E36" s="21">
        <v>1</v>
      </c>
      <c r="F36" s="22">
        <f>SUMIF(A:A,E36,G:G)</f>
        <v>29018.81</v>
      </c>
    </row>
    <row r="37" spans="4:6" x14ac:dyDescent="0.25">
      <c r="D37" s="20" t="s">
        <v>31</v>
      </c>
      <c r="E37" s="21">
        <v>2</v>
      </c>
      <c r="F37" s="22">
        <f>SUMIF(A:A,E37,G:G)</f>
        <v>3125.12</v>
      </c>
    </row>
    <row r="38" spans="4:6" x14ac:dyDescent="0.25">
      <c r="D38" s="19"/>
      <c r="E38" s="4"/>
      <c r="F38" s="4"/>
    </row>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rowBreaks count="1" manualBreakCount="1">
    <brk id="28"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1" sqref="G11"/>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7" t="s">
        <v>1</v>
      </c>
      <c r="B2" s="7" t="s">
        <v>2</v>
      </c>
      <c r="C2" s="7" t="s">
        <v>3</v>
      </c>
      <c r="D2" s="7" t="s">
        <v>4</v>
      </c>
      <c r="E2" s="7" t="s">
        <v>9</v>
      </c>
      <c r="F2" s="7" t="s">
        <v>10</v>
      </c>
      <c r="G2" s="7" t="s">
        <v>11</v>
      </c>
      <c r="H2" s="7" t="s">
        <v>12</v>
      </c>
      <c r="I2" s="7" t="s">
        <v>13</v>
      </c>
    </row>
    <row r="3" spans="1:9" x14ac:dyDescent="0.25">
      <c r="A3" s="40">
        <v>3</v>
      </c>
      <c r="B3" s="36" t="s">
        <v>36</v>
      </c>
      <c r="C3" s="38" t="s">
        <v>7</v>
      </c>
      <c r="D3" s="38">
        <v>6</v>
      </c>
      <c r="E3" s="39">
        <f>IF(C20&lt;=25%,D20,MIN(E20:F20))</f>
        <v>296.49</v>
      </c>
      <c r="F3" s="39">
        <f>MIN(H3:H17)</f>
        <v>171.07</v>
      </c>
      <c r="G3" s="6" t="s">
        <v>74</v>
      </c>
      <c r="H3" s="17">
        <v>235.1</v>
      </c>
      <c r="I3" s="18">
        <f>IF(H3="","",(IF($C$20&lt;25%,"n/a",IF(H3&lt;=($D$20+$A$20),H3,"Descartado"))))</f>
        <v>235.1</v>
      </c>
    </row>
    <row r="4" spans="1:9" x14ac:dyDescent="0.25">
      <c r="A4" s="40"/>
      <c r="B4" s="37"/>
      <c r="C4" s="38"/>
      <c r="D4" s="38"/>
      <c r="E4" s="39"/>
      <c r="F4" s="39"/>
      <c r="G4" s="6" t="s">
        <v>75</v>
      </c>
      <c r="H4" s="17">
        <v>247.6</v>
      </c>
      <c r="I4" s="18">
        <f t="shared" ref="I4:I17" si="0">IF(H4="","",(IF($C$20&lt;25%,"n/a",IF(H4&lt;=($D$20+$A$20),H4,"Descartado"))))</f>
        <v>247.6</v>
      </c>
    </row>
    <row r="5" spans="1:9" x14ac:dyDescent="0.25">
      <c r="A5" s="40"/>
      <c r="B5" s="37"/>
      <c r="C5" s="38"/>
      <c r="D5" s="38"/>
      <c r="E5" s="39"/>
      <c r="F5" s="39"/>
      <c r="G5" s="6" t="s">
        <v>76</v>
      </c>
      <c r="H5" s="17">
        <v>541</v>
      </c>
      <c r="I5" s="18">
        <f t="shared" si="0"/>
        <v>541</v>
      </c>
    </row>
    <row r="6" spans="1:9" x14ac:dyDescent="0.25">
      <c r="A6" s="40"/>
      <c r="B6" s="37"/>
      <c r="C6" s="38"/>
      <c r="D6" s="38"/>
      <c r="E6" s="39"/>
      <c r="F6" s="39"/>
      <c r="G6" s="6" t="s">
        <v>77</v>
      </c>
      <c r="H6" s="17">
        <v>171.07</v>
      </c>
      <c r="I6" s="18">
        <f t="shared" si="0"/>
        <v>171.07</v>
      </c>
    </row>
    <row r="7" spans="1:9" x14ac:dyDescent="0.25">
      <c r="A7" s="40"/>
      <c r="B7" s="37"/>
      <c r="C7" s="38"/>
      <c r="D7" s="38"/>
      <c r="E7" s="39"/>
      <c r="F7" s="39"/>
      <c r="G7" s="6" t="s">
        <v>78</v>
      </c>
      <c r="H7" s="17">
        <v>1000</v>
      </c>
      <c r="I7" s="18" t="str">
        <f t="shared" si="0"/>
        <v>Descartado</v>
      </c>
    </row>
    <row r="8" spans="1:9" x14ac:dyDescent="0.25">
      <c r="A8" s="40"/>
      <c r="B8" s="37"/>
      <c r="C8" s="38"/>
      <c r="D8" s="38"/>
      <c r="E8" s="39"/>
      <c r="F8" s="39"/>
      <c r="G8" s="6" t="s">
        <v>79</v>
      </c>
      <c r="H8" s="17">
        <v>176.78</v>
      </c>
      <c r="I8" s="18">
        <f t="shared" si="0"/>
        <v>176.78</v>
      </c>
    </row>
    <row r="9" spans="1:9" x14ac:dyDescent="0.25">
      <c r="A9" s="40"/>
      <c r="B9" s="37"/>
      <c r="C9" s="38"/>
      <c r="D9" s="38"/>
      <c r="E9" s="39"/>
      <c r="F9" s="39"/>
      <c r="G9" s="6" t="s">
        <v>178</v>
      </c>
      <c r="H9" s="17">
        <v>407.38</v>
      </c>
      <c r="I9" s="18">
        <f t="shared" si="0"/>
        <v>407.38</v>
      </c>
    </row>
    <row r="10" spans="1:9" x14ac:dyDescent="0.25">
      <c r="A10" s="40"/>
      <c r="B10" s="37"/>
      <c r="C10" s="38"/>
      <c r="D10" s="38"/>
      <c r="E10" s="39"/>
      <c r="F10" s="39"/>
      <c r="G10" s="6" t="s">
        <v>176</v>
      </c>
      <c r="H10" s="17">
        <v>884</v>
      </c>
      <c r="I10" s="18" t="str">
        <f t="shared" si="0"/>
        <v>Descartado</v>
      </c>
    </row>
    <row r="11" spans="1:9" x14ac:dyDescent="0.25">
      <c r="A11" s="40"/>
      <c r="B11" s="37"/>
      <c r="C11" s="38"/>
      <c r="D11" s="38"/>
      <c r="E11" s="39"/>
      <c r="F11" s="39"/>
      <c r="G11" s="6"/>
      <c r="H11" s="17"/>
      <c r="I11" s="18" t="str">
        <f t="shared" si="0"/>
        <v/>
      </c>
    </row>
    <row r="12" spans="1:9" x14ac:dyDescent="0.25">
      <c r="A12" s="40"/>
      <c r="B12" s="37"/>
      <c r="C12" s="38"/>
      <c r="D12" s="38"/>
      <c r="E12" s="39"/>
      <c r="F12" s="39"/>
      <c r="G12" s="6"/>
      <c r="H12" s="17"/>
      <c r="I12" s="18" t="str">
        <f t="shared" si="0"/>
        <v/>
      </c>
    </row>
    <row r="13" spans="1:9" x14ac:dyDescent="0.25">
      <c r="A13" s="40"/>
      <c r="B13" s="37"/>
      <c r="C13" s="38"/>
      <c r="D13" s="38"/>
      <c r="E13" s="39"/>
      <c r="F13" s="39"/>
      <c r="G13" s="6"/>
      <c r="H13" s="17"/>
      <c r="I13" s="18" t="str">
        <f t="shared" si="0"/>
        <v/>
      </c>
    </row>
    <row r="14" spans="1:9" x14ac:dyDescent="0.25">
      <c r="A14" s="40"/>
      <c r="B14" s="37"/>
      <c r="C14" s="38"/>
      <c r="D14" s="38"/>
      <c r="E14" s="39"/>
      <c r="F14" s="39"/>
      <c r="G14" s="6"/>
      <c r="H14" s="17"/>
      <c r="I14" s="18" t="str">
        <f t="shared" si="0"/>
        <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7" t="s">
        <v>14</v>
      </c>
      <c r="B19" s="7" t="s">
        <v>15</v>
      </c>
      <c r="C19" s="7" t="s">
        <v>25</v>
      </c>
      <c r="D19" s="7" t="s">
        <v>16</v>
      </c>
      <c r="E19" s="7" t="s">
        <v>17</v>
      </c>
      <c r="F19" s="7" t="s">
        <v>18</v>
      </c>
      <c r="G19" s="34" t="s">
        <v>19</v>
      </c>
      <c r="H19" s="34"/>
    </row>
    <row r="20" spans="1:9" x14ac:dyDescent="0.25">
      <c r="A20" s="9">
        <f>IF(B20&lt;2,"n/a",(_xlfn.STDEV.S(H3:H17)))</f>
        <v>325.1499268661633</v>
      </c>
      <c r="B20" s="9">
        <f>COUNT(H3:H17)</f>
        <v>8</v>
      </c>
      <c r="C20" s="10">
        <f>IF(B20&lt;2,"n/a",(A20/D20))</f>
        <v>0.71013590509568936</v>
      </c>
      <c r="D20" s="11">
        <f>IFERROR(ROUND(AVERAGE(H3:H17),2),"")</f>
        <v>457.87</v>
      </c>
      <c r="E20" s="16">
        <f>IFERROR(ROUND(IF(B20&lt;2,"n/a",(IF(C20&lt;=25%,"n/a",AVERAGE(I3:I17)))),2),"n/a")</f>
        <v>296.49</v>
      </c>
      <c r="F20" s="11">
        <f>IFERROR(ROUND(MEDIAN(H3:H17),2),"")</f>
        <v>327.49</v>
      </c>
      <c r="G20" s="12" t="str">
        <f>IFERROR(INDEX(G3:G17,MATCH(H20,H3:H17,0)),"")</f>
        <v>A C A DOS SANTOS COMERCIO E SERVICOS DE AUTOMACAO</v>
      </c>
      <c r="H20" s="13">
        <f>F3</f>
        <v>171.07</v>
      </c>
    </row>
    <row r="22" spans="1:9" x14ac:dyDescent="0.25">
      <c r="G22" s="14" t="s">
        <v>20</v>
      </c>
      <c r="H22" s="15">
        <f>IF(C20&lt;=25%,D20,MIN(E20:F20))</f>
        <v>296.49</v>
      </c>
    </row>
    <row r="23" spans="1:9" x14ac:dyDescent="0.25">
      <c r="G23" s="14" t="s">
        <v>6</v>
      </c>
      <c r="H23" s="15">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5" sqref="G15"/>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7" t="s">
        <v>1</v>
      </c>
      <c r="B2" s="7" t="s">
        <v>2</v>
      </c>
      <c r="C2" s="7" t="s">
        <v>3</v>
      </c>
      <c r="D2" s="7" t="s">
        <v>4</v>
      </c>
      <c r="E2" s="7" t="s">
        <v>9</v>
      </c>
      <c r="F2" s="7" t="s">
        <v>10</v>
      </c>
      <c r="G2" s="7" t="s">
        <v>11</v>
      </c>
      <c r="H2" s="7" t="s">
        <v>12</v>
      </c>
      <c r="I2" s="7" t="s">
        <v>13</v>
      </c>
    </row>
    <row r="3" spans="1:9" x14ac:dyDescent="0.25">
      <c r="A3" s="40">
        <v>4</v>
      </c>
      <c r="B3" s="36" t="s">
        <v>37</v>
      </c>
      <c r="C3" s="38" t="s">
        <v>7</v>
      </c>
      <c r="D3" s="38">
        <v>2</v>
      </c>
      <c r="E3" s="39">
        <f>IF(C20&lt;=25%,D20,MIN(E20:F20))</f>
        <v>1386.39</v>
      </c>
      <c r="F3" s="39">
        <f>MIN(H3:H17)</f>
        <v>800</v>
      </c>
      <c r="G3" s="6" t="s">
        <v>80</v>
      </c>
      <c r="H3" s="17">
        <v>940</v>
      </c>
      <c r="I3" s="18">
        <f>IF(H3="","",(IF($C$20&lt;25%,"n/a",IF(H3&lt;=($D$20+$A$20),H3,"Descartado"))))</f>
        <v>940</v>
      </c>
    </row>
    <row r="4" spans="1:9" x14ac:dyDescent="0.25">
      <c r="A4" s="40"/>
      <c r="B4" s="37"/>
      <c r="C4" s="38"/>
      <c r="D4" s="38"/>
      <c r="E4" s="39"/>
      <c r="F4" s="39"/>
      <c r="G4" s="6" t="s">
        <v>81</v>
      </c>
      <c r="H4" s="17">
        <v>2144.34</v>
      </c>
      <c r="I4" s="18">
        <f t="shared" ref="I4:I17" si="0">IF(H4="","",(IF($C$20&lt;25%,"n/a",IF(H4&lt;=($D$20+$A$20),H4,"Descartado"))))</f>
        <v>2144.34</v>
      </c>
    </row>
    <row r="5" spans="1:9" x14ac:dyDescent="0.25">
      <c r="A5" s="40"/>
      <c r="B5" s="37"/>
      <c r="C5" s="38"/>
      <c r="D5" s="38"/>
      <c r="E5" s="39"/>
      <c r="F5" s="39"/>
      <c r="G5" s="6" t="s">
        <v>82</v>
      </c>
      <c r="H5" s="17">
        <v>925</v>
      </c>
      <c r="I5" s="18">
        <f t="shared" si="0"/>
        <v>925</v>
      </c>
    </row>
    <row r="6" spans="1:9" x14ac:dyDescent="0.25">
      <c r="A6" s="40"/>
      <c r="B6" s="37"/>
      <c r="C6" s="38"/>
      <c r="D6" s="38"/>
      <c r="E6" s="39"/>
      <c r="F6" s="39"/>
      <c r="G6" s="6" t="s">
        <v>83</v>
      </c>
      <c r="H6" s="17">
        <v>4280.84</v>
      </c>
      <c r="I6" s="18" t="str">
        <f t="shared" si="0"/>
        <v>Descartado</v>
      </c>
    </row>
    <row r="7" spans="1:9" x14ac:dyDescent="0.25">
      <c r="A7" s="40"/>
      <c r="B7" s="37"/>
      <c r="C7" s="38"/>
      <c r="D7" s="38"/>
      <c r="E7" s="39"/>
      <c r="F7" s="39"/>
      <c r="G7" s="6" t="s">
        <v>74</v>
      </c>
      <c r="H7" s="17">
        <v>1402</v>
      </c>
      <c r="I7" s="18">
        <f t="shared" si="0"/>
        <v>1402</v>
      </c>
    </row>
    <row r="8" spans="1:9" x14ac:dyDescent="0.25">
      <c r="A8" s="40"/>
      <c r="B8" s="37"/>
      <c r="C8" s="38"/>
      <c r="D8" s="38"/>
      <c r="E8" s="39"/>
      <c r="F8" s="39"/>
      <c r="G8" s="6" t="s">
        <v>84</v>
      </c>
      <c r="H8" s="17">
        <v>2100</v>
      </c>
      <c r="I8" s="18">
        <f t="shared" si="0"/>
        <v>2100</v>
      </c>
    </row>
    <row r="9" spans="1:9" x14ac:dyDescent="0.25">
      <c r="A9" s="40"/>
      <c r="B9" s="37"/>
      <c r="C9" s="38"/>
      <c r="D9" s="38"/>
      <c r="E9" s="39"/>
      <c r="F9" s="39"/>
      <c r="G9" s="6" t="s">
        <v>85</v>
      </c>
      <c r="H9" s="17">
        <v>3777</v>
      </c>
      <c r="I9" s="18" t="str">
        <f t="shared" si="0"/>
        <v>Descartado</v>
      </c>
    </row>
    <row r="10" spans="1:9" x14ac:dyDescent="0.25">
      <c r="A10" s="40"/>
      <c r="B10" s="37"/>
      <c r="C10" s="38"/>
      <c r="D10" s="38"/>
      <c r="E10" s="39"/>
      <c r="F10" s="39"/>
      <c r="G10" s="6" t="s">
        <v>62</v>
      </c>
      <c r="H10" s="17">
        <v>1375</v>
      </c>
      <c r="I10" s="18">
        <f t="shared" si="0"/>
        <v>1375</v>
      </c>
    </row>
    <row r="11" spans="1:9" x14ac:dyDescent="0.25">
      <c r="A11" s="40"/>
      <c r="B11" s="37"/>
      <c r="C11" s="38"/>
      <c r="D11" s="38"/>
      <c r="E11" s="39"/>
      <c r="F11" s="39"/>
      <c r="G11" s="6" t="s">
        <v>86</v>
      </c>
      <c r="H11" s="17">
        <v>1999</v>
      </c>
      <c r="I11" s="18">
        <f t="shared" si="0"/>
        <v>1999</v>
      </c>
    </row>
    <row r="12" spans="1:9" x14ac:dyDescent="0.25">
      <c r="A12" s="40"/>
      <c r="B12" s="37"/>
      <c r="C12" s="38"/>
      <c r="D12" s="38"/>
      <c r="E12" s="39"/>
      <c r="F12" s="39"/>
      <c r="G12" s="6" t="s">
        <v>87</v>
      </c>
      <c r="H12" s="17">
        <v>877.55</v>
      </c>
      <c r="I12" s="18">
        <f t="shared" si="0"/>
        <v>877.55</v>
      </c>
    </row>
    <row r="13" spans="1:9" x14ac:dyDescent="0.25">
      <c r="A13" s="40"/>
      <c r="B13" s="37"/>
      <c r="C13" s="38"/>
      <c r="D13" s="38"/>
      <c r="E13" s="39"/>
      <c r="F13" s="39"/>
      <c r="G13" s="6" t="s">
        <v>180</v>
      </c>
      <c r="H13" s="17">
        <v>1301.05</v>
      </c>
      <c r="I13" s="18">
        <f t="shared" si="0"/>
        <v>1301.05</v>
      </c>
    </row>
    <row r="14" spans="1:9" x14ac:dyDescent="0.25">
      <c r="A14" s="40"/>
      <c r="B14" s="37"/>
      <c r="C14" s="38"/>
      <c r="D14" s="38"/>
      <c r="E14" s="39"/>
      <c r="F14" s="39"/>
      <c r="G14" s="6" t="s">
        <v>177</v>
      </c>
      <c r="H14" s="17">
        <v>800</v>
      </c>
      <c r="I14" s="18">
        <f t="shared" si="0"/>
        <v>800</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7" t="s">
        <v>14</v>
      </c>
      <c r="B19" s="7" t="s">
        <v>15</v>
      </c>
      <c r="C19" s="7" t="s">
        <v>25</v>
      </c>
      <c r="D19" s="7" t="s">
        <v>16</v>
      </c>
      <c r="E19" s="7" t="s">
        <v>17</v>
      </c>
      <c r="F19" s="7" t="s">
        <v>18</v>
      </c>
      <c r="G19" s="34" t="s">
        <v>19</v>
      </c>
      <c r="H19" s="34"/>
    </row>
    <row r="20" spans="1:9" x14ac:dyDescent="0.25">
      <c r="A20" s="9">
        <f>IF(B20&lt;2,"n/a",(_xlfn.STDEV.S(H3:H17)))</f>
        <v>1138.0508742223178</v>
      </c>
      <c r="B20" s="9">
        <f>COUNT(H3:H17)</f>
        <v>12</v>
      </c>
      <c r="C20" s="10">
        <f>IF(B20&lt;2,"n/a",(A20/D20))</f>
        <v>0.62296825862554484</v>
      </c>
      <c r="D20" s="11">
        <f>IFERROR(ROUND(AVERAGE(H3:H17),2),"")</f>
        <v>1826.82</v>
      </c>
      <c r="E20" s="16">
        <f>IFERROR(ROUND(IF(B20&lt;2,"n/a",(IF(C20&lt;=25%,"n/a",AVERAGE(I3:I17)))),2),"n/a")</f>
        <v>1386.39</v>
      </c>
      <c r="F20" s="11">
        <f>IFERROR(ROUND(MEDIAN(H3:H17),2),"")</f>
        <v>1388.5</v>
      </c>
      <c r="G20" s="12" t="str">
        <f>IFERROR(INDEX(G3:G17,MATCH(H20,H3:H17,0)),"")</f>
        <v>LOJA CANON</v>
      </c>
      <c r="H20" s="13">
        <f>F3</f>
        <v>800</v>
      </c>
    </row>
    <row r="22" spans="1:9" x14ac:dyDescent="0.25">
      <c r="G22" s="14" t="s">
        <v>20</v>
      </c>
      <c r="H22" s="15">
        <f>IF(C20&lt;=25%,D20,MIN(E20:F20))</f>
        <v>1386.39</v>
      </c>
    </row>
    <row r="23" spans="1:9" x14ac:dyDescent="0.25">
      <c r="G23" s="14" t="s">
        <v>6</v>
      </c>
      <c r="H23" s="15">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7" sqref="G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7" t="s">
        <v>1</v>
      </c>
      <c r="B2" s="7" t="s">
        <v>2</v>
      </c>
      <c r="C2" s="7" t="s">
        <v>3</v>
      </c>
      <c r="D2" s="7" t="s">
        <v>4</v>
      </c>
      <c r="E2" s="7" t="s">
        <v>9</v>
      </c>
      <c r="F2" s="7" t="s">
        <v>10</v>
      </c>
      <c r="G2" s="7" t="s">
        <v>11</v>
      </c>
      <c r="H2" s="7" t="s">
        <v>12</v>
      </c>
      <c r="I2" s="7" t="s">
        <v>13</v>
      </c>
    </row>
    <row r="3" spans="1:9" x14ac:dyDescent="0.25">
      <c r="A3" s="40">
        <v>5</v>
      </c>
      <c r="B3" s="36" t="s">
        <v>38</v>
      </c>
      <c r="C3" s="38" t="s">
        <v>7</v>
      </c>
      <c r="D3" s="38">
        <v>1</v>
      </c>
      <c r="E3" s="39">
        <f>IF(C20&lt;=25%,D20,MIN(E20:F20))</f>
        <v>7540.83</v>
      </c>
      <c r="F3" s="39">
        <f>MIN(H3:H17)</f>
        <v>1172.6600000000001</v>
      </c>
      <c r="G3" s="6" t="s">
        <v>88</v>
      </c>
      <c r="H3" s="17">
        <v>9050</v>
      </c>
      <c r="I3" s="18">
        <f>IF(H3="","",(IF($C$20&lt;25%,"n/a",IF(H3&lt;=($D$20+$A$20),H3,"Descartado"))))</f>
        <v>9050</v>
      </c>
    </row>
    <row r="4" spans="1:9" x14ac:dyDescent="0.25">
      <c r="A4" s="40"/>
      <c r="B4" s="37"/>
      <c r="C4" s="38"/>
      <c r="D4" s="38"/>
      <c r="E4" s="39"/>
      <c r="F4" s="39"/>
      <c r="G4" s="6" t="s">
        <v>74</v>
      </c>
      <c r="H4" s="17">
        <v>5737.44</v>
      </c>
      <c r="I4" s="18">
        <f t="shared" ref="I4:I17" si="0">IF(H4="","",(IF($C$20&lt;25%,"n/a",IF(H4&lt;=($D$20+$A$20),H4,"Descartado"))))</f>
        <v>5737.44</v>
      </c>
    </row>
    <row r="5" spans="1:9" x14ac:dyDescent="0.25">
      <c r="A5" s="40"/>
      <c r="B5" s="37"/>
      <c r="C5" s="38"/>
      <c r="D5" s="38"/>
      <c r="E5" s="39"/>
      <c r="F5" s="39"/>
      <c r="G5" s="6" t="s">
        <v>89</v>
      </c>
      <c r="H5" s="17">
        <v>1172.6600000000001</v>
      </c>
      <c r="I5" s="18">
        <f t="shared" si="0"/>
        <v>1172.6600000000001</v>
      </c>
    </row>
    <row r="6" spans="1:9" x14ac:dyDescent="0.25">
      <c r="A6" s="40"/>
      <c r="B6" s="37"/>
      <c r="C6" s="38"/>
      <c r="D6" s="38"/>
      <c r="E6" s="39"/>
      <c r="F6" s="39"/>
      <c r="G6" s="6" t="s">
        <v>82</v>
      </c>
      <c r="H6" s="17">
        <v>3900</v>
      </c>
      <c r="I6" s="18">
        <f t="shared" si="0"/>
        <v>3900</v>
      </c>
    </row>
    <row r="7" spans="1:9" x14ac:dyDescent="0.25">
      <c r="A7" s="40"/>
      <c r="B7" s="37"/>
      <c r="C7" s="38"/>
      <c r="D7" s="38"/>
      <c r="E7" s="39"/>
      <c r="F7" s="39"/>
      <c r="G7" s="6" t="s">
        <v>76</v>
      </c>
      <c r="H7" s="17">
        <v>7969</v>
      </c>
      <c r="I7" s="18">
        <f t="shared" si="0"/>
        <v>7969</v>
      </c>
    </row>
    <row r="8" spans="1:9" x14ac:dyDescent="0.25">
      <c r="A8" s="40"/>
      <c r="B8" s="37"/>
      <c r="C8" s="38"/>
      <c r="D8" s="38"/>
      <c r="E8" s="39"/>
      <c r="F8" s="39"/>
      <c r="G8" s="6" t="s">
        <v>90</v>
      </c>
      <c r="H8" s="17">
        <v>7680</v>
      </c>
      <c r="I8" s="18">
        <f t="shared" si="0"/>
        <v>7680</v>
      </c>
    </row>
    <row r="9" spans="1:9" x14ac:dyDescent="0.25">
      <c r="A9" s="40"/>
      <c r="B9" s="37"/>
      <c r="C9" s="38"/>
      <c r="D9" s="38"/>
      <c r="E9" s="39"/>
      <c r="F9" s="39"/>
      <c r="G9" s="6" t="s">
        <v>91</v>
      </c>
      <c r="H9" s="17">
        <v>10150</v>
      </c>
      <c r="I9" s="18">
        <f t="shared" si="0"/>
        <v>10150</v>
      </c>
    </row>
    <row r="10" spans="1:9" x14ac:dyDescent="0.25">
      <c r="A10" s="40"/>
      <c r="B10" s="37"/>
      <c r="C10" s="38"/>
      <c r="D10" s="38"/>
      <c r="E10" s="39"/>
      <c r="F10" s="39"/>
      <c r="G10" s="6" t="s">
        <v>92</v>
      </c>
      <c r="H10" s="17">
        <v>10040</v>
      </c>
      <c r="I10" s="18">
        <f t="shared" si="0"/>
        <v>10040</v>
      </c>
    </row>
    <row r="11" spans="1:9" x14ac:dyDescent="0.25">
      <c r="A11" s="40"/>
      <c r="B11" s="37"/>
      <c r="C11" s="38"/>
      <c r="D11" s="38"/>
      <c r="E11" s="39"/>
      <c r="F11" s="39"/>
      <c r="G11" s="6" t="s">
        <v>68</v>
      </c>
      <c r="H11" s="17">
        <v>10600</v>
      </c>
      <c r="I11" s="18">
        <f t="shared" si="0"/>
        <v>10600</v>
      </c>
    </row>
    <row r="12" spans="1:9" x14ac:dyDescent="0.25">
      <c r="A12" s="40"/>
      <c r="B12" s="37"/>
      <c r="C12" s="38"/>
      <c r="D12" s="38"/>
      <c r="E12" s="39"/>
      <c r="F12" s="39"/>
      <c r="G12" s="6" t="s">
        <v>65</v>
      </c>
      <c r="H12" s="17">
        <v>8000</v>
      </c>
      <c r="I12" s="18">
        <f t="shared" si="0"/>
        <v>8000</v>
      </c>
    </row>
    <row r="13" spans="1:9" x14ac:dyDescent="0.25">
      <c r="A13" s="40"/>
      <c r="B13" s="37"/>
      <c r="C13" s="38"/>
      <c r="D13" s="38"/>
      <c r="E13" s="39"/>
      <c r="F13" s="39"/>
      <c r="G13" s="6" t="s">
        <v>93</v>
      </c>
      <c r="H13" s="17">
        <v>14086.4</v>
      </c>
      <c r="I13" s="18" t="str">
        <f t="shared" si="0"/>
        <v>Descartado</v>
      </c>
    </row>
    <row r="14" spans="1:9" x14ac:dyDescent="0.25">
      <c r="A14" s="40"/>
      <c r="B14" s="37"/>
      <c r="C14" s="38"/>
      <c r="D14" s="38"/>
      <c r="E14" s="39"/>
      <c r="F14" s="39"/>
      <c r="G14" s="6" t="s">
        <v>94</v>
      </c>
      <c r="H14" s="17">
        <v>8650</v>
      </c>
      <c r="I14" s="18">
        <f t="shared" si="0"/>
        <v>8650</v>
      </c>
    </row>
    <row r="15" spans="1:9" x14ac:dyDescent="0.25">
      <c r="A15" s="40"/>
      <c r="B15" s="37"/>
      <c r="C15" s="38"/>
      <c r="D15" s="38"/>
      <c r="E15" s="39"/>
      <c r="F15" s="39"/>
      <c r="G15" s="6" t="s">
        <v>176</v>
      </c>
      <c r="H15" s="17">
        <v>12399</v>
      </c>
      <c r="I15" s="18" t="str">
        <f t="shared" si="0"/>
        <v>Descartado</v>
      </c>
    </row>
    <row r="16" spans="1:9" x14ac:dyDescent="0.25">
      <c r="A16" s="40"/>
      <c r="B16" s="37"/>
      <c r="C16" s="38"/>
      <c r="D16" s="38"/>
      <c r="E16" s="39"/>
      <c r="F16" s="39"/>
      <c r="G16" s="6" t="s">
        <v>181</v>
      </c>
      <c r="H16" s="17">
        <v>12624</v>
      </c>
      <c r="I16" s="18" t="str">
        <f t="shared" si="0"/>
        <v>Descartado</v>
      </c>
    </row>
    <row r="17" spans="1:9" x14ac:dyDescent="0.25">
      <c r="A17" s="40"/>
      <c r="B17" s="37"/>
      <c r="C17" s="38"/>
      <c r="D17" s="38"/>
      <c r="E17" s="39"/>
      <c r="F17" s="39"/>
      <c r="G17" s="6"/>
      <c r="H17" s="17"/>
      <c r="I17" s="18" t="str">
        <f t="shared" si="0"/>
        <v/>
      </c>
    </row>
    <row r="19" spans="1:9" s="5" customFormat="1" ht="24" x14ac:dyDescent="0.25">
      <c r="A19" s="7" t="s">
        <v>14</v>
      </c>
      <c r="B19" s="7" t="s">
        <v>15</v>
      </c>
      <c r="C19" s="7" t="s">
        <v>25</v>
      </c>
      <c r="D19" s="7" t="s">
        <v>16</v>
      </c>
      <c r="E19" s="7" t="s">
        <v>17</v>
      </c>
      <c r="F19" s="7" t="s">
        <v>18</v>
      </c>
      <c r="G19" s="34" t="s">
        <v>19</v>
      </c>
      <c r="H19" s="34"/>
    </row>
    <row r="20" spans="1:9" x14ac:dyDescent="0.25">
      <c r="A20" s="9">
        <f>IF(B20&lt;2,"n/a",(_xlfn.STDEV.S(H3:H17)))</f>
        <v>3467.035745321074</v>
      </c>
      <c r="B20" s="9">
        <f>COUNT(H3:H17)</f>
        <v>14</v>
      </c>
      <c r="C20" s="10">
        <f>IF(B20&lt;2,"n/a",(A20/D20))</f>
        <v>0.39766607237070245</v>
      </c>
      <c r="D20" s="11">
        <f>IFERROR(ROUND(AVERAGE(H3:H17),2),"")</f>
        <v>8718.4599999999991</v>
      </c>
      <c r="E20" s="16">
        <f>IFERROR(ROUND(IF(B20&lt;2,"n/a",(IF(C20&lt;=25%,"n/a",AVERAGE(I3:I17)))),2),"n/a")</f>
        <v>7540.83</v>
      </c>
      <c r="F20" s="11">
        <f>IFERROR(ROUND(MEDIAN(H3:H17),2),"")</f>
        <v>8850</v>
      </c>
      <c r="G20" s="12" t="str">
        <f>IFERROR(INDEX(G3:G17,MATCH(H20,H3:H17,0)),"")</f>
        <v>INSUMATEK TECNOLOGIA LTDA</v>
      </c>
      <c r="H20" s="13">
        <f>F3</f>
        <v>1172.6600000000001</v>
      </c>
    </row>
    <row r="22" spans="1:9" x14ac:dyDescent="0.25">
      <c r="G22" s="14" t="s">
        <v>20</v>
      </c>
      <c r="H22" s="15">
        <f>IF(C20&lt;=25%,D20,MIN(E20:F20))</f>
        <v>7540.83</v>
      </c>
    </row>
    <row r="23" spans="1:9" x14ac:dyDescent="0.25">
      <c r="G23" s="14" t="s">
        <v>6</v>
      </c>
      <c r="H23" s="15">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7" sqref="G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7" t="s">
        <v>1</v>
      </c>
      <c r="B2" s="7" t="s">
        <v>2</v>
      </c>
      <c r="C2" s="7" t="s">
        <v>3</v>
      </c>
      <c r="D2" s="7" t="s">
        <v>4</v>
      </c>
      <c r="E2" s="7" t="s">
        <v>9</v>
      </c>
      <c r="F2" s="7" t="s">
        <v>10</v>
      </c>
      <c r="G2" s="7" t="s">
        <v>11</v>
      </c>
      <c r="H2" s="7" t="s">
        <v>12</v>
      </c>
      <c r="I2" s="7" t="s">
        <v>13</v>
      </c>
    </row>
    <row r="3" spans="1:9" x14ac:dyDescent="0.25">
      <c r="A3" s="40">
        <v>6</v>
      </c>
      <c r="B3" s="36" t="s">
        <v>39</v>
      </c>
      <c r="C3" s="38" t="s">
        <v>7</v>
      </c>
      <c r="D3" s="38">
        <v>2</v>
      </c>
      <c r="E3" s="39">
        <f>IF(C20&lt;=25%,D20,MIN(E20:F20))</f>
        <v>1062.4100000000001</v>
      </c>
      <c r="F3" s="39">
        <f>MIN(H3:H17)</f>
        <v>749</v>
      </c>
      <c r="G3" s="6" t="s">
        <v>86</v>
      </c>
      <c r="H3" s="17">
        <v>749</v>
      </c>
      <c r="I3" s="18">
        <f>IF(H3="","",(IF($C$20&lt;25%,"n/a",IF(H3&lt;=($D$20+$A$20),H3,"Descartado"))))</f>
        <v>749</v>
      </c>
    </row>
    <row r="4" spans="1:9" x14ac:dyDescent="0.25">
      <c r="A4" s="40"/>
      <c r="B4" s="37"/>
      <c r="C4" s="38"/>
      <c r="D4" s="38"/>
      <c r="E4" s="39"/>
      <c r="F4" s="39"/>
      <c r="G4" s="6" t="s">
        <v>178</v>
      </c>
      <c r="H4" s="17">
        <v>1539.22</v>
      </c>
      <c r="I4" s="18">
        <f t="shared" ref="I4:I17" si="0">IF(H4="","",(IF($C$20&lt;25%,"n/a",IF(H4&lt;=($D$20+$A$20),H4,"Descartado"))))</f>
        <v>1539.22</v>
      </c>
    </row>
    <row r="5" spans="1:9" x14ac:dyDescent="0.25">
      <c r="A5" s="40"/>
      <c r="B5" s="37"/>
      <c r="C5" s="38"/>
      <c r="D5" s="38"/>
      <c r="E5" s="39"/>
      <c r="F5" s="39"/>
      <c r="G5" s="6" t="s">
        <v>176</v>
      </c>
      <c r="H5" s="17">
        <v>899</v>
      </c>
      <c r="I5" s="18">
        <f t="shared" si="0"/>
        <v>899</v>
      </c>
    </row>
    <row r="6" spans="1:9" x14ac:dyDescent="0.25">
      <c r="A6" s="40"/>
      <c r="B6" s="37"/>
      <c r="C6" s="38"/>
      <c r="D6" s="38"/>
      <c r="E6" s="39"/>
      <c r="F6" s="39"/>
      <c r="G6" s="6" t="s">
        <v>179</v>
      </c>
      <c r="H6" s="17">
        <v>2178.21</v>
      </c>
      <c r="I6" s="18" t="str">
        <f t="shared" si="0"/>
        <v>Descartado</v>
      </c>
    </row>
    <row r="7" spans="1:9" x14ac:dyDescent="0.25">
      <c r="A7" s="40"/>
      <c r="B7" s="37"/>
      <c r="C7" s="38"/>
      <c r="D7" s="38"/>
      <c r="E7" s="39"/>
      <c r="F7" s="39"/>
      <c r="G7" s="6"/>
      <c r="H7" s="17"/>
      <c r="I7" s="18" t="str">
        <f t="shared" si="0"/>
        <v/>
      </c>
    </row>
    <row r="8" spans="1:9" x14ac:dyDescent="0.25">
      <c r="A8" s="40"/>
      <c r="B8" s="37"/>
      <c r="C8" s="38"/>
      <c r="D8" s="38"/>
      <c r="E8" s="39"/>
      <c r="F8" s="39"/>
      <c r="G8" s="6"/>
      <c r="H8" s="17"/>
      <c r="I8" s="18" t="str">
        <f t="shared" si="0"/>
        <v/>
      </c>
    </row>
    <row r="9" spans="1:9" x14ac:dyDescent="0.25">
      <c r="A9" s="40"/>
      <c r="B9" s="37"/>
      <c r="C9" s="38"/>
      <c r="D9" s="38"/>
      <c r="E9" s="39"/>
      <c r="F9" s="39"/>
      <c r="G9" s="6"/>
      <c r="H9" s="17"/>
      <c r="I9" s="18" t="str">
        <f t="shared" si="0"/>
        <v/>
      </c>
    </row>
    <row r="10" spans="1:9" x14ac:dyDescent="0.25">
      <c r="A10" s="40"/>
      <c r="B10" s="37"/>
      <c r="C10" s="38"/>
      <c r="D10" s="38"/>
      <c r="E10" s="39"/>
      <c r="F10" s="39"/>
      <c r="G10" s="6"/>
      <c r="H10" s="17"/>
      <c r="I10" s="18" t="str">
        <f t="shared" si="0"/>
        <v/>
      </c>
    </row>
    <row r="11" spans="1:9" x14ac:dyDescent="0.25">
      <c r="A11" s="40"/>
      <c r="B11" s="37"/>
      <c r="C11" s="38"/>
      <c r="D11" s="38"/>
      <c r="E11" s="39"/>
      <c r="F11" s="39"/>
      <c r="G11" s="6"/>
      <c r="H11" s="17"/>
      <c r="I11" s="18" t="str">
        <f t="shared" si="0"/>
        <v/>
      </c>
    </row>
    <row r="12" spans="1:9" x14ac:dyDescent="0.25">
      <c r="A12" s="40"/>
      <c r="B12" s="37"/>
      <c r="C12" s="38"/>
      <c r="D12" s="38"/>
      <c r="E12" s="39"/>
      <c r="F12" s="39"/>
      <c r="G12" s="6"/>
      <c r="H12" s="17"/>
      <c r="I12" s="18" t="str">
        <f t="shared" si="0"/>
        <v/>
      </c>
    </row>
    <row r="13" spans="1:9" x14ac:dyDescent="0.25">
      <c r="A13" s="40"/>
      <c r="B13" s="37"/>
      <c r="C13" s="38"/>
      <c r="D13" s="38"/>
      <c r="E13" s="39"/>
      <c r="F13" s="39"/>
      <c r="G13" s="6"/>
      <c r="H13" s="17"/>
      <c r="I13" s="18" t="str">
        <f t="shared" si="0"/>
        <v/>
      </c>
    </row>
    <row r="14" spans="1:9" x14ac:dyDescent="0.25">
      <c r="A14" s="40"/>
      <c r="B14" s="37"/>
      <c r="C14" s="38"/>
      <c r="D14" s="38"/>
      <c r="E14" s="39"/>
      <c r="F14" s="39"/>
      <c r="G14" s="6"/>
      <c r="H14" s="17"/>
      <c r="I14" s="18" t="str">
        <f t="shared" si="0"/>
        <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7" t="s">
        <v>14</v>
      </c>
      <c r="B19" s="7" t="s">
        <v>15</v>
      </c>
      <c r="C19" s="7" t="s">
        <v>25</v>
      </c>
      <c r="D19" s="7" t="s">
        <v>16</v>
      </c>
      <c r="E19" s="7" t="s">
        <v>17</v>
      </c>
      <c r="F19" s="7" t="s">
        <v>18</v>
      </c>
      <c r="G19" s="34" t="s">
        <v>19</v>
      </c>
      <c r="H19" s="34"/>
    </row>
    <row r="20" spans="1:9" x14ac:dyDescent="0.25">
      <c r="A20" s="9">
        <f>IF(B20&lt;2,"n/a",(_xlfn.STDEV.S(H3:H17)))</f>
        <v>654.73639511765816</v>
      </c>
      <c r="B20" s="9">
        <f>COUNT(H3:H17)</f>
        <v>4</v>
      </c>
      <c r="C20" s="10">
        <f>IF(B20&lt;2,"n/a",(A20/D20))</f>
        <v>0.48811385095549159</v>
      </c>
      <c r="D20" s="11">
        <f>IFERROR(ROUND(AVERAGE(H3:H17),2),"")</f>
        <v>1341.36</v>
      </c>
      <c r="E20" s="16">
        <f>IFERROR(ROUND(IF(B20&lt;2,"n/a",(IF(C20&lt;=25%,"n/a",AVERAGE(I3:I17)))),2),"n/a")</f>
        <v>1062.4100000000001</v>
      </c>
      <c r="F20" s="11">
        <f>IFERROR(ROUND(MEDIAN(H3:H17),2),"")</f>
        <v>1219.1099999999999</v>
      </c>
      <c r="G20" s="12" t="str">
        <f>IFERROR(INDEX(G3:G17,MATCH(H20,H3:H17,0)),"")</f>
        <v>RAUL MUELLER SCHRAMM</v>
      </c>
      <c r="H20" s="13">
        <f>F3</f>
        <v>749</v>
      </c>
    </row>
    <row r="22" spans="1:9" x14ac:dyDescent="0.25">
      <c r="G22" s="14" t="s">
        <v>20</v>
      </c>
      <c r="H22" s="15">
        <f>IF(C20&lt;=25%,D20,MIN(E20:F20))</f>
        <v>1062.4100000000001</v>
      </c>
    </row>
    <row r="23" spans="1:9" x14ac:dyDescent="0.25">
      <c r="G23" s="14" t="s">
        <v>6</v>
      </c>
      <c r="H23" s="15">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7" sqref="G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7" t="s">
        <v>1</v>
      </c>
      <c r="B2" s="7" t="s">
        <v>2</v>
      </c>
      <c r="C2" s="7" t="s">
        <v>3</v>
      </c>
      <c r="D2" s="7" t="s">
        <v>4</v>
      </c>
      <c r="E2" s="7" t="s">
        <v>9</v>
      </c>
      <c r="F2" s="7" t="s">
        <v>10</v>
      </c>
      <c r="G2" s="7" t="s">
        <v>11</v>
      </c>
      <c r="H2" s="7" t="s">
        <v>12</v>
      </c>
      <c r="I2" s="7" t="s">
        <v>13</v>
      </c>
    </row>
    <row r="3" spans="1:9" x14ac:dyDescent="0.25">
      <c r="A3" s="40">
        <v>7</v>
      </c>
      <c r="B3" s="36" t="s">
        <v>40</v>
      </c>
      <c r="C3" s="38" t="s">
        <v>7</v>
      </c>
      <c r="D3" s="38">
        <v>2</v>
      </c>
      <c r="E3" s="39">
        <f>IF(C20&lt;=25%,D20,MIN(E20:F20))</f>
        <v>232.66</v>
      </c>
      <c r="F3" s="39">
        <f>MIN(H3:H17)</f>
        <v>188</v>
      </c>
      <c r="G3" s="6" t="s">
        <v>68</v>
      </c>
      <c r="H3" s="17">
        <v>188</v>
      </c>
      <c r="I3" s="18">
        <f>IF(H3="","",(IF($C$20&lt;25%,"n/a",IF(H3&lt;=($D$20+$A$20),H3,"Descartado"))))</f>
        <v>188</v>
      </c>
    </row>
    <row r="4" spans="1:9" x14ac:dyDescent="0.25">
      <c r="A4" s="40"/>
      <c r="B4" s="37"/>
      <c r="C4" s="38"/>
      <c r="D4" s="38"/>
      <c r="E4" s="39"/>
      <c r="F4" s="39"/>
      <c r="G4" s="6" t="s">
        <v>95</v>
      </c>
      <c r="H4" s="17">
        <v>360</v>
      </c>
      <c r="I4" s="18" t="str">
        <f t="shared" ref="I4:I17" si="0">IF(H4="","",(IF($C$20&lt;25%,"n/a",IF(H4&lt;=($D$20+$A$20),H4,"Descartado"))))</f>
        <v>Descartado</v>
      </c>
    </row>
    <row r="5" spans="1:9" x14ac:dyDescent="0.25">
      <c r="A5" s="40"/>
      <c r="B5" s="37"/>
      <c r="C5" s="38"/>
      <c r="D5" s="38"/>
      <c r="E5" s="39"/>
      <c r="F5" s="39"/>
      <c r="G5" s="6" t="s">
        <v>96</v>
      </c>
      <c r="H5" s="17">
        <v>280</v>
      </c>
      <c r="I5" s="18">
        <f t="shared" si="0"/>
        <v>280</v>
      </c>
    </row>
    <row r="6" spans="1:9" x14ac:dyDescent="0.25">
      <c r="A6" s="40"/>
      <c r="B6" s="37"/>
      <c r="C6" s="38"/>
      <c r="D6" s="38"/>
      <c r="E6" s="39"/>
      <c r="F6" s="39"/>
      <c r="G6" s="6" t="s">
        <v>179</v>
      </c>
      <c r="H6" s="17">
        <v>229.99</v>
      </c>
      <c r="I6" s="18">
        <f t="shared" si="0"/>
        <v>229.99</v>
      </c>
    </row>
    <row r="7" spans="1:9" x14ac:dyDescent="0.25">
      <c r="A7" s="40"/>
      <c r="B7" s="37"/>
      <c r="C7" s="38"/>
      <c r="D7" s="38"/>
      <c r="E7" s="39"/>
      <c r="F7" s="39"/>
      <c r="G7" s="6"/>
      <c r="H7" s="17"/>
      <c r="I7" s="18" t="str">
        <f t="shared" si="0"/>
        <v/>
      </c>
    </row>
    <row r="8" spans="1:9" x14ac:dyDescent="0.25">
      <c r="A8" s="40"/>
      <c r="B8" s="37"/>
      <c r="C8" s="38"/>
      <c r="D8" s="38"/>
      <c r="E8" s="39"/>
      <c r="F8" s="39"/>
      <c r="G8" s="6"/>
      <c r="H8" s="17"/>
      <c r="I8" s="18" t="str">
        <f t="shared" si="0"/>
        <v/>
      </c>
    </row>
    <row r="9" spans="1:9" x14ac:dyDescent="0.25">
      <c r="A9" s="40"/>
      <c r="B9" s="37"/>
      <c r="C9" s="38"/>
      <c r="D9" s="38"/>
      <c r="E9" s="39"/>
      <c r="F9" s="39"/>
      <c r="G9" s="6"/>
      <c r="H9" s="17"/>
      <c r="I9" s="18" t="str">
        <f t="shared" si="0"/>
        <v/>
      </c>
    </row>
    <row r="10" spans="1:9" x14ac:dyDescent="0.25">
      <c r="A10" s="40"/>
      <c r="B10" s="37"/>
      <c r="C10" s="38"/>
      <c r="D10" s="38"/>
      <c r="E10" s="39"/>
      <c r="F10" s="39"/>
      <c r="G10" s="6"/>
      <c r="H10" s="17"/>
      <c r="I10" s="18" t="str">
        <f t="shared" si="0"/>
        <v/>
      </c>
    </row>
    <row r="11" spans="1:9" x14ac:dyDescent="0.25">
      <c r="A11" s="40"/>
      <c r="B11" s="37"/>
      <c r="C11" s="38"/>
      <c r="D11" s="38"/>
      <c r="E11" s="39"/>
      <c r="F11" s="39"/>
      <c r="G11" s="6"/>
      <c r="H11" s="17"/>
      <c r="I11" s="18" t="str">
        <f t="shared" si="0"/>
        <v/>
      </c>
    </row>
    <row r="12" spans="1:9" x14ac:dyDescent="0.25">
      <c r="A12" s="40"/>
      <c r="B12" s="37"/>
      <c r="C12" s="38"/>
      <c r="D12" s="38"/>
      <c r="E12" s="39"/>
      <c r="F12" s="39"/>
      <c r="G12" s="6"/>
      <c r="H12" s="17"/>
      <c r="I12" s="18" t="str">
        <f t="shared" si="0"/>
        <v/>
      </c>
    </row>
    <row r="13" spans="1:9" x14ac:dyDescent="0.25">
      <c r="A13" s="40"/>
      <c r="B13" s="37"/>
      <c r="C13" s="38"/>
      <c r="D13" s="38"/>
      <c r="E13" s="39"/>
      <c r="F13" s="39"/>
      <c r="G13" s="6"/>
      <c r="H13" s="17"/>
      <c r="I13" s="18" t="str">
        <f t="shared" si="0"/>
        <v/>
      </c>
    </row>
    <row r="14" spans="1:9" x14ac:dyDescent="0.25">
      <c r="A14" s="40"/>
      <c r="B14" s="37"/>
      <c r="C14" s="38"/>
      <c r="D14" s="38"/>
      <c r="E14" s="39"/>
      <c r="F14" s="39"/>
      <c r="G14" s="6"/>
      <c r="H14" s="17"/>
      <c r="I14" s="18" t="str">
        <f t="shared" si="0"/>
        <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7" t="s">
        <v>14</v>
      </c>
      <c r="B19" s="7" t="s">
        <v>15</v>
      </c>
      <c r="C19" s="7" t="s">
        <v>25</v>
      </c>
      <c r="D19" s="7" t="s">
        <v>16</v>
      </c>
      <c r="E19" s="7" t="s">
        <v>17</v>
      </c>
      <c r="F19" s="7" t="s">
        <v>18</v>
      </c>
      <c r="G19" s="34" t="s">
        <v>19</v>
      </c>
      <c r="H19" s="34"/>
    </row>
    <row r="20" spans="1:9" x14ac:dyDescent="0.25">
      <c r="A20" s="9">
        <f>IF(B20&lt;2,"n/a",(_xlfn.STDEV.S(H3:H17)))</f>
        <v>73.945227646324028</v>
      </c>
      <c r="B20" s="9">
        <f>COUNT(H3:H17)</f>
        <v>4</v>
      </c>
      <c r="C20" s="10">
        <f>IF(B20&lt;2,"n/a",(A20/D20))</f>
        <v>0.27956607805793582</v>
      </c>
      <c r="D20" s="11">
        <f>IFERROR(ROUND(AVERAGE(H3:H17),2),"")</f>
        <v>264.5</v>
      </c>
      <c r="E20" s="16">
        <f>IFERROR(ROUND(IF(B20&lt;2,"n/a",(IF(C20&lt;=25%,"n/a",AVERAGE(I3:I17)))),2),"n/a")</f>
        <v>232.66</v>
      </c>
      <c r="F20" s="11">
        <f>IFERROR(ROUND(MEDIAN(H3:H17),2),"")</f>
        <v>255</v>
      </c>
      <c r="G20" s="12" t="str">
        <f>IFERROR(INDEX(G3:G17,MATCH(H20,H3:H17,0)),"")</f>
        <v>MEP COMERCIO DE ELETRONICOS E SERVICOS LTDA</v>
      </c>
      <c r="H20" s="13">
        <f>F3</f>
        <v>188</v>
      </c>
    </row>
    <row r="22" spans="1:9" x14ac:dyDescent="0.25">
      <c r="G22" s="14" t="s">
        <v>20</v>
      </c>
      <c r="H22" s="15">
        <f>IF(C20&lt;=25%,D20,MIN(E20:F20))</f>
        <v>232.66</v>
      </c>
    </row>
    <row r="23" spans="1:9" x14ac:dyDescent="0.25">
      <c r="G23" s="14" t="s">
        <v>6</v>
      </c>
      <c r="H23" s="15">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3" sqref="G13"/>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7" t="s">
        <v>1</v>
      </c>
      <c r="B2" s="7" t="s">
        <v>2</v>
      </c>
      <c r="C2" s="7" t="s">
        <v>3</v>
      </c>
      <c r="D2" s="7" t="s">
        <v>4</v>
      </c>
      <c r="E2" s="7" t="s">
        <v>9</v>
      </c>
      <c r="F2" s="7" t="s">
        <v>10</v>
      </c>
      <c r="G2" s="7" t="s">
        <v>11</v>
      </c>
      <c r="H2" s="7" t="s">
        <v>12</v>
      </c>
      <c r="I2" s="7" t="s">
        <v>13</v>
      </c>
    </row>
    <row r="3" spans="1:9" x14ac:dyDescent="0.25">
      <c r="A3" s="40">
        <v>8</v>
      </c>
      <c r="B3" s="36" t="s">
        <v>41</v>
      </c>
      <c r="C3" s="38" t="s">
        <v>7</v>
      </c>
      <c r="D3" s="38">
        <v>1</v>
      </c>
      <c r="E3" s="39">
        <f>IF(C20&lt;=25%,D20,MIN(E20:F20))</f>
        <v>1797.62</v>
      </c>
      <c r="F3" s="39">
        <f>MIN(H3:H17)</f>
        <v>514</v>
      </c>
      <c r="G3" s="6" t="s">
        <v>97</v>
      </c>
      <c r="H3" s="17">
        <v>1463.54</v>
      </c>
      <c r="I3" s="18">
        <f>IF(H3="","",(IF($C$20&lt;25%,"n/a",IF(H3&lt;=($D$20+$A$20),H3,"Descartado"))))</f>
        <v>1463.54</v>
      </c>
    </row>
    <row r="4" spans="1:9" x14ac:dyDescent="0.25">
      <c r="A4" s="40"/>
      <c r="B4" s="37"/>
      <c r="C4" s="38"/>
      <c r="D4" s="38"/>
      <c r="E4" s="39"/>
      <c r="F4" s="39"/>
      <c r="G4" s="6" t="s">
        <v>98</v>
      </c>
      <c r="H4" s="17">
        <v>514</v>
      </c>
      <c r="I4" s="18">
        <f t="shared" ref="I4:I17" si="0">IF(H4="","",(IF($C$20&lt;25%,"n/a",IF(H4&lt;=($D$20+$A$20),H4,"Descartado"))))</f>
        <v>514</v>
      </c>
    </row>
    <row r="5" spans="1:9" x14ac:dyDescent="0.25">
      <c r="A5" s="40"/>
      <c r="B5" s="37"/>
      <c r="C5" s="38"/>
      <c r="D5" s="38"/>
      <c r="E5" s="39"/>
      <c r="F5" s="39"/>
      <c r="G5" s="6" t="s">
        <v>99</v>
      </c>
      <c r="H5" s="17">
        <v>2565.66</v>
      </c>
      <c r="I5" s="18">
        <f t="shared" si="0"/>
        <v>2565.66</v>
      </c>
    </row>
    <row r="6" spans="1:9" x14ac:dyDescent="0.25">
      <c r="A6" s="40"/>
      <c r="B6" s="37"/>
      <c r="C6" s="38"/>
      <c r="D6" s="38"/>
      <c r="E6" s="39"/>
      <c r="F6" s="39"/>
      <c r="G6" s="6" t="s">
        <v>100</v>
      </c>
      <c r="H6" s="17">
        <v>790</v>
      </c>
      <c r="I6" s="18">
        <f t="shared" si="0"/>
        <v>790</v>
      </c>
    </row>
    <row r="7" spans="1:9" x14ac:dyDescent="0.25">
      <c r="A7" s="40"/>
      <c r="B7" s="37"/>
      <c r="C7" s="38"/>
      <c r="D7" s="38"/>
      <c r="E7" s="39"/>
      <c r="F7" s="39"/>
      <c r="G7" s="6" t="s">
        <v>101</v>
      </c>
      <c r="H7" s="17">
        <v>4858</v>
      </c>
      <c r="I7" s="18" t="str">
        <f t="shared" si="0"/>
        <v>Descartado</v>
      </c>
    </row>
    <row r="8" spans="1:9" x14ac:dyDescent="0.25">
      <c r="A8" s="40"/>
      <c r="B8" s="37"/>
      <c r="C8" s="38"/>
      <c r="D8" s="38"/>
      <c r="E8" s="39"/>
      <c r="F8" s="39"/>
      <c r="G8" s="6" t="s">
        <v>102</v>
      </c>
      <c r="H8" s="17">
        <v>4932</v>
      </c>
      <c r="I8" s="18" t="str">
        <f t="shared" si="0"/>
        <v>Descartado</v>
      </c>
    </row>
    <row r="9" spans="1:9" x14ac:dyDescent="0.25">
      <c r="A9" s="40"/>
      <c r="B9" s="37"/>
      <c r="C9" s="38"/>
      <c r="D9" s="38"/>
      <c r="E9" s="39"/>
      <c r="F9" s="39"/>
      <c r="G9" s="6" t="s">
        <v>103</v>
      </c>
      <c r="H9" s="17">
        <v>1970</v>
      </c>
      <c r="I9" s="18">
        <f t="shared" si="0"/>
        <v>1970</v>
      </c>
    </row>
    <row r="10" spans="1:9" x14ac:dyDescent="0.25">
      <c r="A10" s="40"/>
      <c r="B10" s="37"/>
      <c r="C10" s="38"/>
      <c r="D10" s="38"/>
      <c r="E10" s="39"/>
      <c r="F10" s="39"/>
      <c r="G10" s="6" t="s">
        <v>104</v>
      </c>
      <c r="H10" s="17">
        <v>3137</v>
      </c>
      <c r="I10" s="18">
        <f t="shared" si="0"/>
        <v>3137</v>
      </c>
    </row>
    <row r="11" spans="1:9" x14ac:dyDescent="0.25">
      <c r="A11" s="40"/>
      <c r="B11" s="37"/>
      <c r="C11" s="38"/>
      <c r="D11" s="38"/>
      <c r="E11" s="39"/>
      <c r="F11" s="39"/>
      <c r="G11" s="6" t="s">
        <v>105</v>
      </c>
      <c r="H11" s="17">
        <v>1990</v>
      </c>
      <c r="I11" s="18">
        <f t="shared" si="0"/>
        <v>1990</v>
      </c>
    </row>
    <row r="12" spans="1:9" x14ac:dyDescent="0.25">
      <c r="A12" s="40"/>
      <c r="B12" s="37"/>
      <c r="C12" s="38"/>
      <c r="D12" s="38"/>
      <c r="E12" s="39"/>
      <c r="F12" s="39"/>
      <c r="G12" s="6" t="s">
        <v>179</v>
      </c>
      <c r="H12" s="17">
        <v>1950.72</v>
      </c>
      <c r="I12" s="18">
        <f t="shared" si="0"/>
        <v>1950.72</v>
      </c>
    </row>
    <row r="13" spans="1:9" x14ac:dyDescent="0.25">
      <c r="A13" s="40"/>
      <c r="B13" s="37"/>
      <c r="C13" s="38"/>
      <c r="D13" s="38"/>
      <c r="E13" s="39"/>
      <c r="F13" s="39"/>
      <c r="G13" s="6"/>
      <c r="H13" s="17"/>
      <c r="I13" s="18" t="str">
        <f t="shared" si="0"/>
        <v/>
      </c>
    </row>
    <row r="14" spans="1:9" x14ac:dyDescent="0.25">
      <c r="A14" s="40"/>
      <c r="B14" s="37"/>
      <c r="C14" s="38"/>
      <c r="D14" s="38"/>
      <c r="E14" s="39"/>
      <c r="F14" s="39"/>
      <c r="G14" s="6"/>
      <c r="H14" s="17"/>
      <c r="I14" s="18" t="str">
        <f t="shared" si="0"/>
        <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7" t="s">
        <v>14</v>
      </c>
      <c r="B19" s="7" t="s">
        <v>15</v>
      </c>
      <c r="C19" s="7" t="s">
        <v>25</v>
      </c>
      <c r="D19" s="7" t="s">
        <v>16</v>
      </c>
      <c r="E19" s="7" t="s">
        <v>17</v>
      </c>
      <c r="F19" s="7" t="s">
        <v>18</v>
      </c>
      <c r="G19" s="34" t="s">
        <v>19</v>
      </c>
      <c r="H19" s="34"/>
    </row>
    <row r="20" spans="1:9" x14ac:dyDescent="0.25">
      <c r="A20" s="9">
        <f>IF(B20&lt;2,"n/a",(_xlfn.STDEV.S(H3:H17)))</f>
        <v>1512.9582766135134</v>
      </c>
      <c r="B20" s="9">
        <f>COUNT(H3:H17)</f>
        <v>10</v>
      </c>
      <c r="C20" s="10">
        <f>IF(B20&lt;2,"n/a",(A20/D20))</f>
        <v>0.62594205288736182</v>
      </c>
      <c r="D20" s="11">
        <f>IFERROR(ROUND(AVERAGE(H3:H17),2),"")</f>
        <v>2417.09</v>
      </c>
      <c r="E20" s="16">
        <f>IFERROR(ROUND(IF(B20&lt;2,"n/a",(IF(C20&lt;=25%,"n/a",AVERAGE(I3:I17)))),2),"n/a")</f>
        <v>1797.62</v>
      </c>
      <c r="F20" s="11">
        <f>IFERROR(ROUND(MEDIAN(H3:H17),2),"")</f>
        <v>1980</v>
      </c>
      <c r="G20" s="12" t="str">
        <f>IFERROR(INDEX(G3:G17,MATCH(H20,H3:H17,0)),"")</f>
        <v>37.356.021 GABRIEL JULIAN FINCK</v>
      </c>
      <c r="H20" s="13">
        <f>F3</f>
        <v>514</v>
      </c>
    </row>
    <row r="22" spans="1:9" x14ac:dyDescent="0.25">
      <c r="G22" s="14" t="s">
        <v>20</v>
      </c>
      <c r="H22" s="15">
        <f>IF(C20&lt;=25%,D20,MIN(E20:F20))</f>
        <v>1797.62</v>
      </c>
    </row>
    <row r="23" spans="1:9" x14ac:dyDescent="0.25">
      <c r="G23" s="14" t="s">
        <v>6</v>
      </c>
      <c r="H23" s="15">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0" sqref="G10"/>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5" customFormat="1" ht="36" x14ac:dyDescent="0.25">
      <c r="A2" s="7" t="s">
        <v>1</v>
      </c>
      <c r="B2" s="7" t="s">
        <v>2</v>
      </c>
      <c r="C2" s="7" t="s">
        <v>3</v>
      </c>
      <c r="D2" s="7" t="s">
        <v>4</v>
      </c>
      <c r="E2" s="7" t="s">
        <v>9</v>
      </c>
      <c r="F2" s="7" t="s">
        <v>10</v>
      </c>
      <c r="G2" s="7" t="s">
        <v>11</v>
      </c>
      <c r="H2" s="7" t="s">
        <v>12</v>
      </c>
      <c r="I2" s="7" t="s">
        <v>13</v>
      </c>
    </row>
    <row r="3" spans="1:9" x14ac:dyDescent="0.25">
      <c r="A3" s="40">
        <v>9</v>
      </c>
      <c r="B3" s="36" t="s">
        <v>42</v>
      </c>
      <c r="C3" s="38" t="s">
        <v>7</v>
      </c>
      <c r="D3" s="38">
        <v>4</v>
      </c>
      <c r="E3" s="39">
        <f>IF(C20&lt;=25%,D20,MIN(E20:F20))</f>
        <v>684.5</v>
      </c>
      <c r="F3" s="39">
        <f>MIN(H3:H17)</f>
        <v>110</v>
      </c>
      <c r="G3" s="6" t="s">
        <v>106</v>
      </c>
      <c r="H3" s="17">
        <v>699</v>
      </c>
      <c r="I3" s="18">
        <f>IF(H3="","",(IF($C$20&lt;25%,"n/a",IF(H3&lt;=($D$20+$A$20),H3,"Descartado"))))</f>
        <v>699</v>
      </c>
    </row>
    <row r="4" spans="1:9" x14ac:dyDescent="0.25">
      <c r="A4" s="40"/>
      <c r="B4" s="37"/>
      <c r="C4" s="38"/>
      <c r="D4" s="38"/>
      <c r="E4" s="39"/>
      <c r="F4" s="39"/>
      <c r="G4" s="6" t="s">
        <v>107</v>
      </c>
      <c r="H4" s="17">
        <v>238.76</v>
      </c>
      <c r="I4" s="18">
        <f t="shared" ref="I4:I17" si="0">IF(H4="","",(IF($C$20&lt;25%,"n/a",IF(H4&lt;=($D$20+$A$20),H4,"Descartado"))))</f>
        <v>238.76</v>
      </c>
    </row>
    <row r="5" spans="1:9" x14ac:dyDescent="0.25">
      <c r="A5" s="40"/>
      <c r="B5" s="37"/>
      <c r="C5" s="38"/>
      <c r="D5" s="38"/>
      <c r="E5" s="39"/>
      <c r="F5" s="39"/>
      <c r="G5" s="6" t="s">
        <v>108</v>
      </c>
      <c r="H5" s="17">
        <v>595</v>
      </c>
      <c r="I5" s="18">
        <f t="shared" si="0"/>
        <v>595</v>
      </c>
    </row>
    <row r="6" spans="1:9" x14ac:dyDescent="0.25">
      <c r="A6" s="40"/>
      <c r="B6" s="37"/>
      <c r="C6" s="38"/>
      <c r="D6" s="38"/>
      <c r="E6" s="39"/>
      <c r="F6" s="39"/>
      <c r="G6" s="6" t="s">
        <v>109</v>
      </c>
      <c r="H6" s="17">
        <v>110</v>
      </c>
      <c r="I6" s="18">
        <f t="shared" si="0"/>
        <v>110</v>
      </c>
    </row>
    <row r="7" spans="1:9" x14ac:dyDescent="0.25">
      <c r="A7" s="40"/>
      <c r="B7" s="37"/>
      <c r="C7" s="38"/>
      <c r="D7" s="38"/>
      <c r="E7" s="39"/>
      <c r="F7" s="39"/>
      <c r="G7" s="6" t="s">
        <v>110</v>
      </c>
      <c r="H7" s="17">
        <v>1064.26</v>
      </c>
      <c r="I7" s="18">
        <f t="shared" si="0"/>
        <v>1064.26</v>
      </c>
    </row>
    <row r="8" spans="1:9" x14ac:dyDescent="0.25">
      <c r="A8" s="40"/>
      <c r="B8" s="37"/>
      <c r="C8" s="38"/>
      <c r="D8" s="38"/>
      <c r="E8" s="39"/>
      <c r="F8" s="39"/>
      <c r="G8" s="6" t="s">
        <v>182</v>
      </c>
      <c r="H8" s="17">
        <v>1400</v>
      </c>
      <c r="I8" s="18">
        <f t="shared" si="0"/>
        <v>1400</v>
      </c>
    </row>
    <row r="9" spans="1:9" x14ac:dyDescent="0.25">
      <c r="A9" s="40"/>
      <c r="B9" s="37"/>
      <c r="C9" s="38"/>
      <c r="D9" s="38"/>
      <c r="E9" s="39"/>
      <c r="F9" s="39"/>
      <c r="G9" s="6" t="s">
        <v>183</v>
      </c>
      <c r="H9" s="17">
        <v>5751</v>
      </c>
      <c r="I9" s="18" t="str">
        <f t="shared" si="0"/>
        <v>Descartado</v>
      </c>
    </row>
    <row r="10" spans="1:9" x14ac:dyDescent="0.25">
      <c r="A10" s="40"/>
      <c r="B10" s="37"/>
      <c r="C10" s="38"/>
      <c r="D10" s="38"/>
      <c r="E10" s="39"/>
      <c r="F10" s="39"/>
      <c r="G10" s="6"/>
      <c r="H10" s="17"/>
      <c r="I10" s="18" t="str">
        <f t="shared" si="0"/>
        <v/>
      </c>
    </row>
    <row r="11" spans="1:9" x14ac:dyDescent="0.25">
      <c r="A11" s="40"/>
      <c r="B11" s="37"/>
      <c r="C11" s="38"/>
      <c r="D11" s="38"/>
      <c r="E11" s="39"/>
      <c r="F11" s="39"/>
      <c r="G11" s="6"/>
      <c r="H11" s="17"/>
      <c r="I11" s="18" t="str">
        <f t="shared" si="0"/>
        <v/>
      </c>
    </row>
    <row r="12" spans="1:9" x14ac:dyDescent="0.25">
      <c r="A12" s="40"/>
      <c r="B12" s="37"/>
      <c r="C12" s="38"/>
      <c r="D12" s="38"/>
      <c r="E12" s="39"/>
      <c r="F12" s="39"/>
      <c r="G12" s="6"/>
      <c r="H12" s="17"/>
      <c r="I12" s="18" t="str">
        <f t="shared" si="0"/>
        <v/>
      </c>
    </row>
    <row r="13" spans="1:9" x14ac:dyDescent="0.25">
      <c r="A13" s="40"/>
      <c r="B13" s="37"/>
      <c r="C13" s="38"/>
      <c r="D13" s="38"/>
      <c r="E13" s="39"/>
      <c r="F13" s="39"/>
      <c r="G13" s="6"/>
      <c r="H13" s="17"/>
      <c r="I13" s="18" t="str">
        <f t="shared" si="0"/>
        <v/>
      </c>
    </row>
    <row r="14" spans="1:9" x14ac:dyDescent="0.25">
      <c r="A14" s="40"/>
      <c r="B14" s="37"/>
      <c r="C14" s="38"/>
      <c r="D14" s="38"/>
      <c r="E14" s="39"/>
      <c r="F14" s="39"/>
      <c r="G14" s="6"/>
      <c r="H14" s="17"/>
      <c r="I14" s="18" t="str">
        <f t="shared" si="0"/>
        <v/>
      </c>
    </row>
    <row r="15" spans="1:9" x14ac:dyDescent="0.25">
      <c r="A15" s="40"/>
      <c r="B15" s="37"/>
      <c r="C15" s="38"/>
      <c r="D15" s="38"/>
      <c r="E15" s="39"/>
      <c r="F15" s="39"/>
      <c r="G15" s="6"/>
      <c r="H15" s="17"/>
      <c r="I15" s="18" t="str">
        <f t="shared" si="0"/>
        <v/>
      </c>
    </row>
    <row r="16" spans="1:9" x14ac:dyDescent="0.25">
      <c r="A16" s="40"/>
      <c r="B16" s="37"/>
      <c r="C16" s="38"/>
      <c r="D16" s="38"/>
      <c r="E16" s="39"/>
      <c r="F16" s="39"/>
      <c r="G16" s="6"/>
      <c r="H16" s="17"/>
      <c r="I16" s="18" t="str">
        <f t="shared" si="0"/>
        <v/>
      </c>
    </row>
    <row r="17" spans="1:9" x14ac:dyDescent="0.25">
      <c r="A17" s="40"/>
      <c r="B17" s="37"/>
      <c r="C17" s="38"/>
      <c r="D17" s="38"/>
      <c r="E17" s="39"/>
      <c r="F17" s="39"/>
      <c r="G17" s="6"/>
      <c r="H17" s="17"/>
      <c r="I17" s="18" t="str">
        <f t="shared" si="0"/>
        <v/>
      </c>
    </row>
    <row r="19" spans="1:9" s="5" customFormat="1" ht="24" x14ac:dyDescent="0.25">
      <c r="A19" s="7" t="s">
        <v>14</v>
      </c>
      <c r="B19" s="7" t="s">
        <v>15</v>
      </c>
      <c r="C19" s="7" t="s">
        <v>25</v>
      </c>
      <c r="D19" s="7" t="s">
        <v>16</v>
      </c>
      <c r="E19" s="7" t="s">
        <v>17</v>
      </c>
      <c r="F19" s="7" t="s">
        <v>18</v>
      </c>
      <c r="G19" s="34" t="s">
        <v>19</v>
      </c>
      <c r="H19" s="34"/>
    </row>
    <row r="20" spans="1:9" x14ac:dyDescent="0.25">
      <c r="A20" s="9">
        <f>IF(B20&lt;2,"n/a",(_xlfn.STDEV.S(H3:H17)))</f>
        <v>1966.1911479764506</v>
      </c>
      <c r="B20" s="9">
        <f>COUNT(H3:H17)</f>
        <v>7</v>
      </c>
      <c r="C20" s="10">
        <f>IF(B20&lt;2,"n/a",(A20/D20))</f>
        <v>1.3961550163506455</v>
      </c>
      <c r="D20" s="11">
        <f>IFERROR(ROUND(AVERAGE(H3:H17),2),"")</f>
        <v>1408.29</v>
      </c>
      <c r="E20" s="16">
        <f>IFERROR(ROUND(IF(B20&lt;2,"n/a",(IF(C20&lt;=25%,"n/a",AVERAGE(I3:I17)))),2),"n/a")</f>
        <v>684.5</v>
      </c>
      <c r="F20" s="11">
        <f>IFERROR(ROUND(MEDIAN(H3:H17),2),"")</f>
        <v>699</v>
      </c>
      <c r="G20" s="12" t="str">
        <f>IFERROR(INDEX(G3:G17,MATCH(H20,H3:H17,0)),"")</f>
        <v>CR3 COMERCIO ELETRONICO LTDA</v>
      </c>
      <c r="H20" s="13">
        <f>F3</f>
        <v>110</v>
      </c>
    </row>
    <row r="22" spans="1:9" x14ac:dyDescent="0.25">
      <c r="G22" s="14" t="s">
        <v>20</v>
      </c>
      <c r="H22" s="15">
        <f>IF(C20&lt;=25%,D20,MIN(E20:F20))</f>
        <v>684.5</v>
      </c>
    </row>
    <row r="23" spans="1:9" x14ac:dyDescent="0.25">
      <c r="G23" s="14" t="s">
        <v>6</v>
      </c>
      <c r="H23" s="15">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1</vt:i4>
      </vt:variant>
    </vt:vector>
  </HeadingPairs>
  <TitlesOfParts>
    <vt:vector size="29"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Grace Lane Gama Bulcão</cp:lastModifiedBy>
  <cp:lastPrinted>2023-11-13T17:55:41Z</cp:lastPrinted>
  <dcterms:created xsi:type="dcterms:W3CDTF">2023-11-07T17:10:34Z</dcterms:created>
  <dcterms:modified xsi:type="dcterms:W3CDTF">2023-12-01T19:04:46Z</dcterms:modified>
</cp:coreProperties>
</file>