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1"/>
  </bookViews>
  <sheets>
    <sheet name="Item1" sheetId="1" r:id="rId1"/>
    <sheet name="TOTAL" sheetId="2" r:id="rId2"/>
  </sheets>
  <definedNames>
    <definedName name="_xlnm.Print_Area" localSheetId="1">TOTAL!$A$1:$F$20</definedName>
    <definedName name="Print_Area_0" localSheetId="1">TOTAL!$A$9:$F$20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2" l="1"/>
  <c r="F14" i="2"/>
  <c r="D19" i="2" l="1"/>
  <c r="C19" i="2"/>
  <c r="B19" i="2"/>
  <c r="D11" i="2"/>
  <c r="C11" i="2"/>
  <c r="B11" i="2"/>
  <c r="H20" i="1"/>
  <c r="G20" i="1" s="1"/>
  <c r="B18" i="2" s="1"/>
  <c r="F20" i="1"/>
  <c r="D20" i="1"/>
  <c r="B20" i="1"/>
  <c r="I17" i="1"/>
  <c r="I16" i="1"/>
  <c r="I15" i="1"/>
  <c r="I14" i="1"/>
  <c r="I13" i="1"/>
  <c r="I12" i="1"/>
  <c r="I11" i="1"/>
  <c r="I10" i="1"/>
  <c r="F3" i="1"/>
  <c r="E19" i="2" s="1"/>
  <c r="F19" i="2" l="1"/>
  <c r="F20" i="2" s="1"/>
  <c r="A20" i="1"/>
  <c r="C20" i="1" s="1"/>
  <c r="I8" i="1" l="1"/>
  <c r="I9" i="1"/>
  <c r="I6" i="1"/>
  <c r="I7" i="1"/>
  <c r="I4" i="1"/>
  <c r="I5" i="1"/>
  <c r="I3" i="1"/>
  <c r="E20" i="1" l="1"/>
  <c r="E3" i="1" s="1"/>
  <c r="E11" i="2" s="1"/>
  <c r="F11" i="2" s="1"/>
  <c r="H22" i="1" l="1"/>
  <c r="H23" i="1" s="1"/>
</calcChain>
</file>

<file path=xl/sharedStrings.xml><?xml version="1.0" encoding="utf-8"?>
<sst xmlns="http://schemas.openxmlformats.org/spreadsheetml/2006/main" count="54" uniqueCount="48">
  <si>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</si>
  <si>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</si>
  <si>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</si>
  <si>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</si>
  <si>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</si>
  <si>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</si>
  <si>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</si>
  <si>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</si>
  <si>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</si>
  <si>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</si>
  <si>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</si>
  <si>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</si>
  <si>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</si>
  <si>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</si>
  <si>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</si>
  <si>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</si>
  <si>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</si>
  <si>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</si>
  <si>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</si>
  <si>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</si>
  <si>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</si>
  <si>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</si>
  <si>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</si>
  <si>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</si>
  <si>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</si>
  <si>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</si>
  <si>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</si>
  <si>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</si>
  <si>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</si>
  <si>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</si>
  <si>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</si>
  <si>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</si>
  <si>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</si>
  <si>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Fornec.</t>
  </si>
  <si>
    <t>VALOR TOTAL - MENORES PREÇOS OFERTADOS</t>
  </si>
  <si>
    <t>MENOR PREÇO OFERTADO</t>
  </si>
  <si>
    <t>Contratação de serviços de gestão informatizada da frota de veículos do Tribunal Regional Eleitoral da Bahia</t>
  </si>
  <si>
    <t>valor total</t>
  </si>
  <si>
    <t>TRT2 / CENTRO AMERICA COMERCIO, SERVICO, GESTAO TECNOLOGICA LTDA</t>
  </si>
  <si>
    <t>TRT2 / PRIME CONSULTORIA E ASSESSORIA EMPRESARIAL LTDA</t>
  </si>
  <si>
    <t>TRT2 / TRIVALE INSTITUICAO DE PAGAMENTO LTDA</t>
  </si>
  <si>
    <t>PREF. SANTA INÊS - MA / PRIME CONSULTORIA E ASSESSORIA EMPRESARIAL LTDA</t>
  </si>
  <si>
    <t>COREN-TO / TICKET SOLUCOES HDFGT S.A</t>
  </si>
  <si>
    <t>COREN-TO / TICKET GESTAO EM MANUTENCAO EZC S.A</t>
  </si>
  <si>
    <t>SRA MF - CE / PRIME CONSULTORIA E ASSESSORIA EMPRESARIAL LTDA</t>
  </si>
  <si>
    <r>
      <t xml:space="preserve">VALOR TOTAL ESTIMADO [ r </t>
    </r>
    <r>
      <rPr>
        <b/>
        <sz val="12"/>
        <rFont val="Calibri"/>
        <family val="2"/>
      </rPr>
      <t>×</t>
    </r>
    <r>
      <rPr>
        <b/>
        <sz val="12"/>
        <rFont val="Calibri"/>
        <family val="2"/>
        <charset val="1"/>
      </rPr>
      <t xml:space="preserve"> ( 1 + t ) ] =</t>
    </r>
  </si>
  <si>
    <t>Preço Referência - Anexo A do TR ( r ) =</t>
  </si>
  <si>
    <t>Taxa de Administração ( t 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</si>
</sst>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9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  <font>
      <b/>
      <sz val="12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theme="2" tint="-9.9978637043366805E-2"/>
        <bgColor rgb="FFDDD9C3"/>
      </patternFill>
    </fill>
    <fill>
      <patternFill patternType="solid">
        <fgColor theme="2" tint="-0.249977111117893"/>
        <bgColor rgb="FFDDD9C3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2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  <xf numFmtId="9" fontId="17" fillId="0" borderId="0" applyFont="0" applyFill="0" applyBorder="0" applyAlignment="0" applyProtection="0"/>
  </cellStyleXfs>
  <cellXfs count="64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10" fontId="11" fillId="9" borderId="2" xfId="21" applyNumberFormat="1" applyFont="1" applyFill="1" applyBorder="1" applyAlignment="1">
      <alignment wrapText="1"/>
    </xf>
    <xf numFmtId="165" fontId="11" fillId="11" borderId="2" xfId="0" applyNumberFormat="1" applyFont="1" applyFill="1" applyBorder="1" applyAlignment="1">
      <alignment wrapText="1"/>
    </xf>
    <xf numFmtId="165" fontId="11" fillId="12" borderId="2" xfId="0" applyNumberFormat="1" applyFont="1" applyFill="1" applyBorder="1" applyAlignment="1">
      <alignment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wrapText="1"/>
    </xf>
    <xf numFmtId="0" fontId="11" fillId="11" borderId="2" xfId="0" applyFont="1" applyFill="1" applyBorder="1" applyAlignment="1">
      <alignment horizontal="right" wrapText="1"/>
    </xf>
  </cellXfs>
  <cellStyles count="22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Porcentagem" xfId="21" builtinId="5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0</xdr:rowOff>
    </xdr:from>
    <xdr:to>
      <xdr:col>2</xdr:col>
      <xdr:colOff>323850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22" sqref="H2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36</v>
      </c>
      <c r="C3" s="51" t="s">
        <v>37</v>
      </c>
      <c r="D3" s="52">
        <v>1</v>
      </c>
      <c r="E3" s="53">
        <f>IF(C20&lt;=25%,D20,MIN(E20:F20))</f>
        <v>3602003.25</v>
      </c>
      <c r="F3" s="53">
        <f>MIN(H3:H17)</f>
        <v>3335019.64</v>
      </c>
      <c r="G3" s="6" t="s">
        <v>38</v>
      </c>
      <c r="H3" s="7">
        <v>3762566.1</v>
      </c>
      <c r="I3" s="8" t="str">
        <f t="shared" ref="I3:I17" si="0">IF(H3="","",(IF($C$20&lt;25%,"N/A",IF(H3&lt;=($D$20+$A$20),H3,"Descartado"))))</f>
        <v>N/A</v>
      </c>
    </row>
    <row r="4" spans="1:9">
      <c r="A4" s="49"/>
      <c r="B4" s="50"/>
      <c r="C4" s="51"/>
      <c r="D4" s="52"/>
      <c r="E4" s="53"/>
      <c r="F4" s="53"/>
      <c r="G4" s="6" t="s">
        <v>39</v>
      </c>
      <c r="H4" s="7">
        <v>3459679.53</v>
      </c>
      <c r="I4" s="8" t="str">
        <f t="shared" si="0"/>
        <v>N/A</v>
      </c>
    </row>
    <row r="5" spans="1:9">
      <c r="A5" s="49"/>
      <c r="B5" s="50"/>
      <c r="C5" s="51"/>
      <c r="D5" s="52"/>
      <c r="E5" s="53"/>
      <c r="F5" s="53"/>
      <c r="G5" s="6" t="s">
        <v>40</v>
      </c>
      <c r="H5" s="7">
        <v>3762566.1</v>
      </c>
      <c r="I5" s="8" t="str">
        <f t="shared" si="0"/>
        <v>N/A</v>
      </c>
    </row>
    <row r="6" spans="1:9">
      <c r="A6" s="49"/>
      <c r="B6" s="50"/>
      <c r="C6" s="51"/>
      <c r="D6" s="52"/>
      <c r="E6" s="53"/>
      <c r="F6" s="53"/>
      <c r="G6" s="6" t="s">
        <v>41</v>
      </c>
      <c r="H6" s="7">
        <v>3444310.38</v>
      </c>
      <c r="I6" s="8" t="str">
        <f t="shared" si="0"/>
        <v>N/A</v>
      </c>
    </row>
    <row r="7" spans="1:9">
      <c r="A7" s="49"/>
      <c r="B7" s="50"/>
      <c r="C7" s="51"/>
      <c r="D7" s="52"/>
      <c r="E7" s="53"/>
      <c r="F7" s="53"/>
      <c r="G7" s="6" t="s">
        <v>42</v>
      </c>
      <c r="H7" s="7">
        <v>3724940.37</v>
      </c>
      <c r="I7" s="8" t="str">
        <f t="shared" si="0"/>
        <v>N/A</v>
      </c>
    </row>
    <row r="8" spans="1:9">
      <c r="A8" s="49"/>
      <c r="B8" s="50"/>
      <c r="C8" s="51"/>
      <c r="D8" s="52"/>
      <c r="E8" s="53"/>
      <c r="F8" s="53"/>
      <c r="G8" s="6" t="s">
        <v>43</v>
      </c>
      <c r="H8" s="7">
        <v>3724940.64</v>
      </c>
      <c r="I8" s="8" t="str">
        <f t="shared" si="0"/>
        <v>N/A</v>
      </c>
    </row>
    <row r="9" spans="1:9">
      <c r="A9" s="49"/>
      <c r="B9" s="50"/>
      <c r="C9" s="51"/>
      <c r="D9" s="52"/>
      <c r="E9" s="53"/>
      <c r="F9" s="53"/>
      <c r="G9" s="6" t="s">
        <v>44</v>
      </c>
      <c r="H9" s="7">
        <v>3335019.64</v>
      </c>
      <c r="I9" s="8" t="str">
        <f t="shared" si="0"/>
        <v>N/A</v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4" t="s">
        <v>16</v>
      </c>
      <c r="H19" s="54"/>
      <c r="I19" s="18"/>
    </row>
    <row r="20" spans="1:11">
      <c r="A20" s="19">
        <f>IF(B20&lt;2,"N/A",(STDEV(H3:H17)))</f>
        <v>181746.7677228672</v>
      </c>
      <c r="B20" s="19">
        <f>COUNT(H3:H17)</f>
        <v>7</v>
      </c>
      <c r="C20" s="20">
        <f>IF(B20&lt;2,"N/A",(A20/D20))</f>
        <v>5.0457135962569497E-2</v>
      </c>
      <c r="D20" s="21">
        <f>ROUND(AVERAGE(H3:H17),2)</f>
        <v>3602003.25</v>
      </c>
      <c r="E20" s="22" t="str">
        <f>IFERROR(ROUND(IF(B20&lt;2,"N/A",(IF(C20&lt;=25%,"N/A",AVERAGE(I3:I17)))),2),"N/A")</f>
        <v>N/A</v>
      </c>
      <c r="F20" s="22">
        <f>ROUND(MEDIAN(H3:H17),2)</f>
        <v>3724940.37</v>
      </c>
      <c r="G20" s="23" t="str">
        <f>INDEX(G3:G17,MATCH(H20,H3:H17,0))</f>
        <v>SRA MF - CE / PRIME CONSULTORIA E ASSESSORIA EMPRESARIAL LTDA</v>
      </c>
      <c r="H20" s="24">
        <f>MIN(H3:H17)</f>
        <v>3335019.64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5"/>
      <c r="E22" s="55"/>
      <c r="F22" s="30"/>
      <c r="G22" s="31" t="s">
        <v>17</v>
      </c>
      <c r="H22" s="32">
        <f>IF(C20&lt;=25%,D20,MIN(E20:F20))</f>
        <v>3602003.25</v>
      </c>
    </row>
    <row r="23" spans="1:11">
      <c r="B23" s="25"/>
      <c r="C23" s="25"/>
      <c r="D23" s="55"/>
      <c r="E23" s="55"/>
      <c r="F23" s="33"/>
      <c r="G23" s="4" t="s">
        <v>18</v>
      </c>
      <c r="H23" s="24">
        <f>ROUND(H22,2)*D3</f>
        <v>3602003.25</v>
      </c>
    </row>
    <row r="24" spans="1:11">
      <c r="B24" s="29"/>
      <c r="C24" s="29"/>
      <c r="D24" s="18"/>
      <c r="E24" s="18"/>
    </row>
    <row r="26" spans="1:11" ht="12.75" customHeight="1">
      <c r="A26" s="56" t="s">
        <v>19</v>
      </c>
      <c r="B26" s="56"/>
      <c r="C26" s="56"/>
      <c r="D26" s="56"/>
      <c r="E26" s="56"/>
      <c r="F26" s="56"/>
      <c r="G26" s="56"/>
      <c r="H26" s="56"/>
      <c r="I26" s="56"/>
    </row>
    <row r="27" spans="1:11" ht="12.75" customHeight="1">
      <c r="A27" s="56" t="s">
        <v>20</v>
      </c>
      <c r="B27" s="56"/>
      <c r="C27" s="56"/>
      <c r="D27" s="56"/>
      <c r="E27" s="56"/>
      <c r="F27" s="56"/>
      <c r="G27" s="56"/>
      <c r="H27" s="56"/>
      <c r="I27" s="56"/>
    </row>
    <row r="28" spans="1:11" ht="12.75" customHeight="1">
      <c r="A28" s="56" t="s">
        <v>21</v>
      </c>
      <c r="B28" s="56"/>
      <c r="C28" s="56"/>
      <c r="D28" s="56"/>
      <c r="E28" s="56"/>
      <c r="F28" s="56"/>
      <c r="G28" s="56"/>
      <c r="H28" s="56"/>
      <c r="I28" s="56"/>
    </row>
    <row r="29" spans="1:11" ht="12.75" customHeight="1">
      <c r="A29" s="56" t="s">
        <v>22</v>
      </c>
      <c r="B29" s="56"/>
      <c r="C29" s="56"/>
      <c r="D29" s="56"/>
      <c r="E29" s="56"/>
      <c r="F29" s="56"/>
      <c r="G29" s="56"/>
      <c r="H29" s="56"/>
      <c r="I29" s="56"/>
    </row>
    <row r="30" spans="1:11" ht="12.75" customHeight="1">
      <c r="A30" s="56" t="s">
        <v>23</v>
      </c>
      <c r="B30" s="56"/>
      <c r="C30" s="56"/>
      <c r="D30" s="56"/>
      <c r="E30" s="56"/>
      <c r="F30" s="56"/>
      <c r="G30" s="56"/>
      <c r="H30" s="56"/>
      <c r="I30" s="56"/>
    </row>
    <row r="31" spans="1:11" ht="12.75" customHeight="1">
      <c r="A31" s="56" t="s">
        <v>24</v>
      </c>
      <c r="B31" s="56"/>
      <c r="C31" s="56"/>
      <c r="D31" s="56"/>
      <c r="E31" s="56"/>
      <c r="F31" s="56"/>
      <c r="G31" s="56"/>
      <c r="H31" s="56"/>
      <c r="I31" s="56"/>
    </row>
    <row r="32" spans="1:11" ht="24.75" customHeight="1">
      <c r="A32" s="57" t="s">
        <v>25</v>
      </c>
      <c r="B32" s="57"/>
      <c r="C32" s="57"/>
      <c r="D32" s="57"/>
      <c r="E32" s="57"/>
      <c r="F32" s="57"/>
      <c r="G32" s="57"/>
      <c r="H32" s="57"/>
      <c r="I32" s="57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0"/>
  <sheetViews>
    <sheetView tabSelected="1" view="pageBreakPreview" topLeftCell="A7" zoomScaleNormal="100" workbookViewId="0">
      <selection activeCell="C31" sqref="C31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34" customWidth="1"/>
    <col min="5" max="5" width="14.7109375" style="34" bestFit="1" customWidth="1"/>
    <col min="6" max="6" width="17.42578125" style="34" bestFit="1" customWidth="1"/>
    <col min="7" max="14" width="9.140625" style="35"/>
    <col min="15" max="1024" width="9.140625" style="34"/>
  </cols>
  <sheetData>
    <row r="1" spans="1:7" ht="12.75" customHeight="1">
      <c r="A1" s="58"/>
      <c r="B1" s="58"/>
      <c r="C1" s="58"/>
      <c r="D1" s="58"/>
      <c r="E1" s="58"/>
      <c r="F1" s="58"/>
    </row>
    <row r="2" spans="1:7" ht="12.75" customHeight="1">
      <c r="A2" s="58"/>
      <c r="B2" s="58"/>
      <c r="C2" s="58"/>
      <c r="D2" s="58"/>
      <c r="E2" s="58"/>
      <c r="F2" s="58"/>
    </row>
    <row r="3" spans="1:7" ht="12.75" customHeight="1">
      <c r="A3" s="58"/>
      <c r="B3" s="58"/>
      <c r="C3" s="58"/>
      <c r="D3" s="58"/>
      <c r="E3" s="58"/>
      <c r="F3" s="58"/>
    </row>
    <row r="4" spans="1:7" ht="12.75" customHeight="1">
      <c r="A4" s="58"/>
      <c r="B4" s="58"/>
      <c r="C4" s="58"/>
      <c r="D4" s="58"/>
      <c r="E4" s="58"/>
      <c r="F4" s="58"/>
    </row>
    <row r="5" spans="1:7" ht="12.75" customHeight="1">
      <c r="A5" s="58"/>
      <c r="B5" s="58"/>
      <c r="C5" s="58"/>
      <c r="D5" s="58"/>
      <c r="E5" s="58"/>
      <c r="F5" s="58"/>
    </row>
    <row r="6" spans="1:7" ht="12.75" customHeight="1">
      <c r="A6" s="58"/>
      <c r="B6" s="58"/>
      <c r="C6" s="58"/>
      <c r="D6" s="58"/>
      <c r="E6" s="58"/>
      <c r="F6" s="58"/>
    </row>
    <row r="7" spans="1:7" ht="12.75" customHeight="1">
      <c r="A7" s="58"/>
      <c r="B7" s="58"/>
      <c r="C7" s="58"/>
      <c r="D7" s="58"/>
      <c r="E7" s="58"/>
      <c r="F7" s="58"/>
    </row>
    <row r="8" spans="1:7" ht="12.75" customHeight="1">
      <c r="A8" s="61"/>
      <c r="B8" s="61"/>
      <c r="C8" s="61"/>
      <c r="D8" s="61"/>
      <c r="E8" s="61"/>
      <c r="F8" s="61"/>
    </row>
    <row r="9" spans="1:7" ht="15.75" customHeight="1">
      <c r="A9" s="59" t="s">
        <v>26</v>
      </c>
      <c r="B9" s="59"/>
      <c r="C9" s="59"/>
      <c r="D9" s="59"/>
      <c r="E9" s="59"/>
      <c r="F9" s="59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25.5">
      <c r="A11" s="37">
        <v>1</v>
      </c>
      <c r="B11" s="38" t="str">
        <f>Item1!B3</f>
        <v>Contratação de serviços de gestão informatizada da frota de veículos do Tribunal Regional Eleitoral da Bahia</v>
      </c>
      <c r="C11" s="37" t="str">
        <f>Item1!C3</f>
        <v>valor total</v>
      </c>
      <c r="D11" s="37">
        <f>Item1!D3</f>
        <v>1</v>
      </c>
      <c r="E11" s="39">
        <f>Item1!E3</f>
        <v>3602003.25</v>
      </c>
      <c r="F11" s="39">
        <f>(ROUND(E11,2)*D11)</f>
        <v>3602003.25</v>
      </c>
      <c r="G11" s="40"/>
    </row>
    <row r="12" spans="1:7" ht="15.75" customHeight="1">
      <c r="A12" s="41"/>
      <c r="B12" s="41"/>
      <c r="C12" s="62" t="s">
        <v>47</v>
      </c>
      <c r="D12" s="62"/>
      <c r="E12" s="62"/>
      <c r="F12" s="45">
        <f>ROUND((F11/F13)-1,4)</f>
        <v>-4.2700000000000002E-2</v>
      </c>
    </row>
    <row r="13" spans="1:7" ht="15.75" customHeight="1">
      <c r="A13" s="44"/>
      <c r="B13" s="44"/>
      <c r="C13" s="63" t="s">
        <v>46</v>
      </c>
      <c r="D13" s="63"/>
      <c r="E13" s="63"/>
      <c r="F13" s="46">
        <v>3762566.1</v>
      </c>
    </row>
    <row r="14" spans="1:7" ht="15.75">
      <c r="C14" s="62" t="s">
        <v>45</v>
      </c>
      <c r="D14" s="62"/>
      <c r="E14" s="62"/>
      <c r="F14" s="47">
        <f>(F13*(1+F12))</f>
        <v>3601904.5275300001</v>
      </c>
    </row>
    <row r="16" spans="1:7" ht="15.75" customHeight="1">
      <c r="A16" s="59" t="s">
        <v>35</v>
      </c>
      <c r="B16" s="59"/>
      <c r="C16" s="59"/>
      <c r="D16" s="59"/>
      <c r="E16" s="59"/>
      <c r="F16" s="59"/>
    </row>
    <row r="17" spans="1:6" ht="25.5">
      <c r="A17" s="36" t="s">
        <v>27</v>
      </c>
      <c r="B17" s="36" t="s">
        <v>28</v>
      </c>
      <c r="C17" s="36" t="s">
        <v>29</v>
      </c>
      <c r="D17" s="36" t="s">
        <v>30</v>
      </c>
      <c r="E17" s="36" t="s">
        <v>31</v>
      </c>
      <c r="F17" s="36" t="s">
        <v>32</v>
      </c>
    </row>
    <row r="18" spans="1:6" ht="17.25">
      <c r="A18" s="43" t="s">
        <v>33</v>
      </c>
      <c r="B18" s="60" t="str">
        <f>Item1!G20</f>
        <v>SRA MF - CE / PRIME CONSULTORIA E ASSESSORIA EMPRESARIAL LTDA</v>
      </c>
      <c r="C18" s="60"/>
      <c r="D18" s="60"/>
      <c r="E18" s="60"/>
      <c r="F18" s="60"/>
    </row>
    <row r="19" spans="1:6" ht="25.5">
      <c r="A19" s="37">
        <v>1</v>
      </c>
      <c r="B19" s="38" t="str">
        <f>Item1!B3</f>
        <v>Contratação de serviços de gestão informatizada da frota de veículos do Tribunal Regional Eleitoral da Bahia</v>
      </c>
      <c r="C19" s="37" t="str">
        <f>Item1!C3</f>
        <v>valor total</v>
      </c>
      <c r="D19" s="37">
        <f>Item1!D3</f>
        <v>1</v>
      </c>
      <c r="E19" s="39">
        <f>Item1!F3</f>
        <v>3335019.64</v>
      </c>
      <c r="F19" s="39">
        <f>(ROUND(E19,2)*D19)</f>
        <v>3335019.64</v>
      </c>
    </row>
    <row r="20" spans="1:6" ht="30" customHeight="1">
      <c r="A20" s="41"/>
      <c r="B20" s="41"/>
      <c r="C20" s="59" t="s">
        <v>34</v>
      </c>
      <c r="D20" s="59"/>
      <c r="E20" s="59"/>
      <c r="F20" s="42">
        <f>SUM(F19:F19)</f>
        <v>3335019.64</v>
      </c>
    </row>
  </sheetData>
  <mergeCells count="15">
    <mergeCell ref="A16:F16"/>
    <mergeCell ref="B18:F18"/>
    <mergeCell ref="C20:E20"/>
    <mergeCell ref="A6:F6"/>
    <mergeCell ref="A7:F7"/>
    <mergeCell ref="A8:F8"/>
    <mergeCell ref="A9:F9"/>
    <mergeCell ref="C12:E12"/>
    <mergeCell ref="C13:E13"/>
    <mergeCell ref="C14:E14"/>
    <mergeCell ref="A1:F1"/>
    <mergeCell ref="A2:F2"/>
    <mergeCell ref="A3:F3"/>
    <mergeCell ref="A4:F4"/>
    <mergeCell ref="A5:F5"/>
  </mergeCells>
  <pageMargins left="0.51181102362204722" right="0.51181102362204722" top="0.78740157480314965" bottom="0.94488188976377963" header="0.51181102362204722" footer="0.78740157480314965"/>
  <pageSetup paperSize="9" scale="89" firstPageNumber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revision>20</cp:revision>
  <cp:lastPrinted>2023-10-11T11:41:52Z</cp:lastPrinted>
  <dcterms:created xsi:type="dcterms:W3CDTF">2019-01-16T20:04:04Z</dcterms:created>
  <dcterms:modified xsi:type="dcterms:W3CDTF">2023-11-14T18:09:56Z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