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811" firstSheet="7" activeTab="17"/>
  </bookViews>
  <sheets>
    <sheet name="engeletr" sheetId="1" r:id="rId1"/>
    <sheet name="encrefig" sheetId="2" r:id="rId2"/>
    <sheet name="enceletr" sheetId="3" r:id="rId3"/>
    <sheet name="enccivil" sheetId="4" r:id="rId4"/>
    <sheet name="tectele" sheetId="5" r:id="rId5"/>
    <sheet name="teceletro" sheetId="6" r:id="rId6"/>
    <sheet name="bomcivil" sheetId="7" r:id="rId7"/>
    <sheet name="tecrefrig" sheetId="8" r:id="rId8"/>
    <sheet name="eletric" sheetId="9" r:id="rId9"/>
    <sheet name="eletricPD" sheetId="10" r:id="rId10"/>
    <sheet name="eletricPN" sheetId="11" r:id="rId11"/>
    <sheet name="ajmontD" sheetId="12" r:id="rId12"/>
    <sheet name="auxcivil" sheetId="13" r:id="rId13"/>
    <sheet name="auxtelha" sheetId="15" r:id="rId14"/>
    <sheet name="tecseg" sheetId="16" r:id="rId15"/>
    <sheet name="ajmontN" sheetId="24" r:id="rId16"/>
    <sheet name="pintorN" sheetId="14" r:id="rId17"/>
    <sheet name="pintorD" sheetId="27" r:id="rId18"/>
    <sheet name="hextraAE" sheetId="25" r:id="rId19"/>
    <sheet name="hextraAnE" sheetId="26" r:id="rId20"/>
    <sheet name="total" sheetId="19" r:id="rId21"/>
  </sheets>
  <definedNames>
    <definedName name="_xlnm.Print_Titles" localSheetId="18">hextraAE!$A:$A</definedName>
    <definedName name="_xlnm.Print_Titles" localSheetId="19">hextraAnE!$A:$A</definedName>
    <definedName name="_xlnm.Print_Titles" localSheetId="20">total!$1:$9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28" i="27" l="1"/>
  <c r="D33" i="27" s="1"/>
  <c r="C41" i="27"/>
  <c r="C42" i="27"/>
  <c r="C43" i="27" s="1"/>
  <c r="C57" i="27"/>
  <c r="C86" i="27" s="1"/>
  <c r="D63" i="27"/>
  <c r="D67" i="27" s="1"/>
  <c r="D75" i="27" s="1"/>
  <c r="D64" i="27"/>
  <c r="C82" i="27"/>
  <c r="C84" i="27"/>
  <c r="C85" i="27"/>
  <c r="C87" i="27"/>
  <c r="C97" i="27"/>
  <c r="C98" i="27"/>
  <c r="C99" i="27"/>
  <c r="C100" i="27"/>
  <c r="C101" i="27"/>
  <c r="D128" i="27"/>
  <c r="D153" i="27" s="1"/>
  <c r="C136" i="27"/>
  <c r="C143" i="27" s="1"/>
  <c r="F67" i="19"/>
  <c r="D85" i="27" l="1"/>
  <c r="D86" i="27" s="1"/>
  <c r="D149" i="27"/>
  <c r="D82" i="27"/>
  <c r="D41" i="27"/>
  <c r="D42" i="27"/>
  <c r="D84" i="27"/>
  <c r="D87" i="27"/>
  <c r="G44" i="19"/>
  <c r="G45" i="19"/>
  <c r="G46" i="19"/>
  <c r="G47" i="19"/>
  <c r="G48" i="19"/>
  <c r="G43" i="19"/>
  <c r="D83" i="27" l="1"/>
  <c r="D88" i="27" s="1"/>
  <c r="D151" i="27" s="1"/>
  <c r="D43" i="27"/>
  <c r="D64" i="7"/>
  <c r="D26" i="1"/>
  <c r="C19" i="1"/>
  <c r="D73" i="27" l="1"/>
  <c r="D53" i="27"/>
  <c r="D51" i="27"/>
  <c r="D55" i="27"/>
  <c r="D52" i="27"/>
  <c r="D49" i="27"/>
  <c r="D50" i="27"/>
  <c r="D54" i="27"/>
  <c r="D56" i="27"/>
  <c r="AB40" i="26"/>
  <c r="Z40" i="26"/>
  <c r="X40" i="26"/>
  <c r="V40" i="26"/>
  <c r="T40" i="26"/>
  <c r="R40" i="26"/>
  <c r="P40" i="26"/>
  <c r="N40" i="26"/>
  <c r="L40" i="26"/>
  <c r="J40" i="26"/>
  <c r="H40" i="26"/>
  <c r="F40" i="26"/>
  <c r="D40" i="26"/>
  <c r="B40" i="26"/>
  <c r="AB39" i="26"/>
  <c r="Z39" i="26"/>
  <c r="X39" i="26"/>
  <c r="V39" i="26"/>
  <c r="T39" i="26"/>
  <c r="R39" i="26"/>
  <c r="P39" i="26"/>
  <c r="N39" i="26"/>
  <c r="L39" i="26"/>
  <c r="J39" i="26"/>
  <c r="H39" i="26"/>
  <c r="F39" i="26"/>
  <c r="D39" i="26"/>
  <c r="B39" i="26"/>
  <c r="AB37" i="26"/>
  <c r="AC37" i="26" s="1"/>
  <c r="AC38" i="26" s="1"/>
  <c r="Z37" i="26"/>
  <c r="AA37" i="26" s="1"/>
  <c r="AA38" i="26" s="1"/>
  <c r="X37" i="26"/>
  <c r="V37" i="26"/>
  <c r="T37" i="26"/>
  <c r="R37" i="26"/>
  <c r="P37" i="26"/>
  <c r="N37" i="26"/>
  <c r="O37" i="26" s="1"/>
  <c r="O38" i="26" s="1"/>
  <c r="L37" i="26"/>
  <c r="J37" i="26"/>
  <c r="H37" i="26"/>
  <c r="F37" i="26"/>
  <c r="D37" i="26"/>
  <c r="B37" i="26"/>
  <c r="C37" i="26" s="1"/>
  <c r="C38" i="26" s="1"/>
  <c r="AA36" i="26"/>
  <c r="Y36" i="26"/>
  <c r="W36" i="26"/>
  <c r="W37" i="26" s="1"/>
  <c r="W38" i="26" s="1"/>
  <c r="U36" i="26"/>
  <c r="S36" i="26"/>
  <c r="S37" i="26" s="1"/>
  <c r="S38" i="26" s="1"/>
  <c r="Q36" i="26"/>
  <c r="Q37" i="26" s="1"/>
  <c r="O36" i="26"/>
  <c r="M36" i="26"/>
  <c r="K36" i="26"/>
  <c r="K37" i="26" s="1"/>
  <c r="K38" i="26" s="1"/>
  <c r="I36" i="26"/>
  <c r="G36" i="26"/>
  <c r="G37" i="26" s="1"/>
  <c r="G38" i="26" s="1"/>
  <c r="E36" i="26"/>
  <c r="E37" i="26" s="1"/>
  <c r="AB35" i="26"/>
  <c r="Z35" i="26"/>
  <c r="X35" i="26"/>
  <c r="V35" i="26"/>
  <c r="T35" i="26"/>
  <c r="R35" i="26"/>
  <c r="P35" i="26"/>
  <c r="N35" i="26"/>
  <c r="L35" i="26"/>
  <c r="J35" i="26"/>
  <c r="H35" i="26"/>
  <c r="F35" i="26"/>
  <c r="D35" i="26"/>
  <c r="B35" i="26"/>
  <c r="AB30" i="26"/>
  <c r="Z30" i="26"/>
  <c r="X30" i="26"/>
  <c r="V30" i="26"/>
  <c r="T30" i="26"/>
  <c r="R30" i="26"/>
  <c r="P30" i="26"/>
  <c r="N30" i="26"/>
  <c r="L30" i="26"/>
  <c r="J30" i="26"/>
  <c r="H30" i="26"/>
  <c r="F30" i="26"/>
  <c r="D30" i="26"/>
  <c r="B30" i="26"/>
  <c r="O28" i="26"/>
  <c r="C28" i="26"/>
  <c r="AB27" i="26"/>
  <c r="AC27" i="26" s="1"/>
  <c r="Z27" i="26"/>
  <c r="X27" i="26"/>
  <c r="V27" i="26"/>
  <c r="T27" i="26"/>
  <c r="R27" i="26"/>
  <c r="P27" i="26"/>
  <c r="Q27" i="26" s="1"/>
  <c r="N27" i="26"/>
  <c r="L27" i="26"/>
  <c r="J27" i="26"/>
  <c r="H27" i="26"/>
  <c r="F27" i="26"/>
  <c r="D27" i="26"/>
  <c r="E27" i="26" s="1"/>
  <c r="B27" i="26"/>
  <c r="AC26" i="26"/>
  <c r="AC28" i="26" s="1"/>
  <c r="AA26" i="26"/>
  <c r="AA27" i="26" s="1"/>
  <c r="Y26" i="26"/>
  <c r="W26" i="26"/>
  <c r="W27" i="26" s="1"/>
  <c r="U26" i="26"/>
  <c r="S26" i="26"/>
  <c r="Q26" i="26"/>
  <c r="Q28" i="26" s="1"/>
  <c r="O26" i="26"/>
  <c r="O27" i="26" s="1"/>
  <c r="M26" i="26"/>
  <c r="K26" i="26"/>
  <c r="K27" i="26" s="1"/>
  <c r="I26" i="26"/>
  <c r="G26" i="26"/>
  <c r="E26" i="26"/>
  <c r="E28" i="26" s="1"/>
  <c r="C26" i="26"/>
  <c r="C27" i="26" s="1"/>
  <c r="AB24" i="26"/>
  <c r="Z24" i="26"/>
  <c r="X24" i="26"/>
  <c r="V24" i="26"/>
  <c r="T24" i="26"/>
  <c r="R24" i="26"/>
  <c r="P24" i="26"/>
  <c r="N24" i="26"/>
  <c r="L24" i="26"/>
  <c r="J24" i="26"/>
  <c r="H24" i="26"/>
  <c r="F24" i="26"/>
  <c r="D24" i="26"/>
  <c r="B24" i="26"/>
  <c r="AC20" i="26"/>
  <c r="AA20" i="26"/>
  <c r="Y20" i="26"/>
  <c r="W20" i="26"/>
  <c r="U20" i="26"/>
  <c r="S20" i="26"/>
  <c r="Q20" i="26"/>
  <c r="O20" i="26"/>
  <c r="M20" i="26"/>
  <c r="K20" i="26"/>
  <c r="I20" i="26"/>
  <c r="G20" i="26"/>
  <c r="E20" i="26"/>
  <c r="C20" i="26"/>
  <c r="AB15" i="26"/>
  <c r="Z15" i="26"/>
  <c r="X15" i="26"/>
  <c r="V15" i="26"/>
  <c r="T15" i="26"/>
  <c r="R15" i="26"/>
  <c r="P15" i="26"/>
  <c r="N15" i="26"/>
  <c r="L15" i="26"/>
  <c r="J15" i="26"/>
  <c r="H15" i="26"/>
  <c r="F15" i="26"/>
  <c r="D15" i="26"/>
  <c r="B15" i="26"/>
  <c r="AB7" i="26"/>
  <c r="Z7" i="26"/>
  <c r="X7" i="26"/>
  <c r="V7" i="26"/>
  <c r="T7" i="26"/>
  <c r="R7" i="26"/>
  <c r="P7" i="26"/>
  <c r="N7" i="26"/>
  <c r="L7" i="26"/>
  <c r="J7" i="26"/>
  <c r="H7" i="26"/>
  <c r="F7" i="26"/>
  <c r="D7" i="26"/>
  <c r="B7" i="26"/>
  <c r="AB6" i="26"/>
  <c r="AC6" i="26" s="1"/>
  <c r="Z6" i="26"/>
  <c r="X6" i="26"/>
  <c r="Y6" i="26" s="1"/>
  <c r="V6" i="26"/>
  <c r="T6" i="26"/>
  <c r="U6" i="26" s="1"/>
  <c r="R6" i="26"/>
  <c r="S6" i="26" s="1"/>
  <c r="P6" i="26"/>
  <c r="Q6" i="26" s="1"/>
  <c r="N6" i="26"/>
  <c r="L6" i="26"/>
  <c r="M6" i="26" s="1"/>
  <c r="J6" i="26"/>
  <c r="H6" i="26"/>
  <c r="I6" i="26" s="1"/>
  <c r="F6" i="26"/>
  <c r="G6" i="26" s="1"/>
  <c r="D6" i="26"/>
  <c r="E6" i="26" s="1"/>
  <c r="B6" i="26"/>
  <c r="AC5" i="26"/>
  <c r="AA5" i="26"/>
  <c r="Y5" i="26"/>
  <c r="W5" i="26"/>
  <c r="U5" i="26"/>
  <c r="S5" i="26"/>
  <c r="Q5" i="26"/>
  <c r="O5" i="26"/>
  <c r="M5" i="26"/>
  <c r="K5" i="26"/>
  <c r="I5" i="26"/>
  <c r="G5" i="26"/>
  <c r="E5" i="26"/>
  <c r="AB4" i="26"/>
  <c r="Z4" i="26"/>
  <c r="X4" i="26"/>
  <c r="V4" i="26"/>
  <c r="T4" i="26"/>
  <c r="R4" i="26"/>
  <c r="P4" i="26"/>
  <c r="N4" i="26"/>
  <c r="L4" i="26"/>
  <c r="J4" i="26"/>
  <c r="H4" i="26"/>
  <c r="F4" i="26"/>
  <c r="D4" i="26"/>
  <c r="B4" i="26"/>
  <c r="A49" i="25"/>
  <c r="A47" i="25"/>
  <c r="AC42" i="25"/>
  <c r="AA42" i="25"/>
  <c r="Y42" i="25"/>
  <c r="W42" i="25"/>
  <c r="U42" i="25"/>
  <c r="S42" i="25"/>
  <c r="Q42" i="25"/>
  <c r="O42" i="25"/>
  <c r="M42" i="25"/>
  <c r="K42" i="25"/>
  <c r="I42" i="25"/>
  <c r="G42" i="25"/>
  <c r="E42" i="25"/>
  <c r="C42" i="25"/>
  <c r="AC32" i="25"/>
  <c r="AA32" i="25"/>
  <c r="Y32" i="25"/>
  <c r="W32" i="25"/>
  <c r="U32" i="25"/>
  <c r="S32" i="25"/>
  <c r="Q32" i="25"/>
  <c r="O32" i="25"/>
  <c r="M32" i="25"/>
  <c r="K32" i="25"/>
  <c r="I32" i="25"/>
  <c r="G32" i="25"/>
  <c r="E32" i="25"/>
  <c r="C32" i="25"/>
  <c r="AB40" i="25"/>
  <c r="Z40" i="25"/>
  <c r="X40" i="25"/>
  <c r="V40" i="25"/>
  <c r="T40" i="25"/>
  <c r="R40" i="25"/>
  <c r="P40" i="25"/>
  <c r="N40" i="25"/>
  <c r="L40" i="25"/>
  <c r="J40" i="25"/>
  <c r="H40" i="25"/>
  <c r="F40" i="25"/>
  <c r="D40" i="25"/>
  <c r="AB39" i="25"/>
  <c r="Z39" i="25"/>
  <c r="X39" i="25"/>
  <c r="V39" i="25"/>
  <c r="T39" i="25"/>
  <c r="R39" i="25"/>
  <c r="P39" i="25"/>
  <c r="N39" i="25"/>
  <c r="L39" i="25"/>
  <c r="J39" i="25"/>
  <c r="H39" i="25"/>
  <c r="F39" i="25"/>
  <c r="D39" i="25"/>
  <c r="B39" i="25"/>
  <c r="B40" i="25"/>
  <c r="AA36" i="25"/>
  <c r="Y36" i="25"/>
  <c r="W36" i="25"/>
  <c r="U36" i="25"/>
  <c r="S36" i="25"/>
  <c r="Q36" i="25"/>
  <c r="O36" i="25"/>
  <c r="M36" i="25"/>
  <c r="K36" i="25"/>
  <c r="I36" i="25"/>
  <c r="G36" i="25"/>
  <c r="E36" i="25"/>
  <c r="D64" i="4"/>
  <c r="D64" i="5"/>
  <c r="D64" i="6"/>
  <c r="D64" i="8"/>
  <c r="D64" i="9"/>
  <c r="D64" i="12"/>
  <c r="D64" i="13"/>
  <c r="D64" i="15"/>
  <c r="D64" i="24"/>
  <c r="D64" i="14"/>
  <c r="D64" i="3"/>
  <c r="D64" i="2"/>
  <c r="AB37" i="25"/>
  <c r="Z37" i="25"/>
  <c r="X37" i="25"/>
  <c r="V37" i="25"/>
  <c r="W37" i="25" s="1"/>
  <c r="T37" i="25"/>
  <c r="R37" i="25"/>
  <c r="P37" i="25"/>
  <c r="N37" i="25"/>
  <c r="L37" i="25"/>
  <c r="J37" i="25"/>
  <c r="K37" i="25" s="1"/>
  <c r="H37" i="25"/>
  <c r="F37" i="25"/>
  <c r="D37" i="25"/>
  <c r="E37" i="25" s="1"/>
  <c r="B37" i="25"/>
  <c r="AB35" i="25"/>
  <c r="Z35" i="25"/>
  <c r="X35" i="25"/>
  <c r="V35" i="25"/>
  <c r="T35" i="25"/>
  <c r="R35" i="25"/>
  <c r="P35" i="25"/>
  <c r="N35" i="25"/>
  <c r="L35" i="25"/>
  <c r="J35" i="25"/>
  <c r="H35" i="25"/>
  <c r="F35" i="25"/>
  <c r="D35" i="25"/>
  <c r="B35" i="25"/>
  <c r="AB30" i="25"/>
  <c r="Z30" i="25"/>
  <c r="X30" i="25"/>
  <c r="V30" i="25"/>
  <c r="T30" i="25"/>
  <c r="R30" i="25"/>
  <c r="P30" i="25"/>
  <c r="N30" i="25"/>
  <c r="L30" i="25"/>
  <c r="J30" i="25"/>
  <c r="H30" i="25"/>
  <c r="F30" i="25"/>
  <c r="D30" i="25"/>
  <c r="B30" i="25"/>
  <c r="AB27" i="25"/>
  <c r="Z27" i="25"/>
  <c r="X27" i="25"/>
  <c r="V27" i="25"/>
  <c r="T27" i="25"/>
  <c r="R27" i="25"/>
  <c r="P27" i="25"/>
  <c r="N27" i="25"/>
  <c r="L27" i="25"/>
  <c r="J27" i="25"/>
  <c r="H27" i="25"/>
  <c r="F27" i="25"/>
  <c r="D27" i="25"/>
  <c r="B27" i="25"/>
  <c r="AC26" i="25"/>
  <c r="AA26" i="25"/>
  <c r="Y26" i="25"/>
  <c r="W26" i="25"/>
  <c r="U26" i="25"/>
  <c r="S26" i="25"/>
  <c r="Q26" i="25"/>
  <c r="O26" i="25"/>
  <c r="M26" i="25"/>
  <c r="K26" i="25"/>
  <c r="I26" i="25"/>
  <c r="G26" i="25"/>
  <c r="E26" i="25"/>
  <c r="C26" i="25"/>
  <c r="AB24" i="25"/>
  <c r="Z24" i="25"/>
  <c r="X24" i="25"/>
  <c r="V24" i="25"/>
  <c r="T24" i="25"/>
  <c r="R24" i="25"/>
  <c r="P24" i="25"/>
  <c r="N24" i="25"/>
  <c r="L24" i="25"/>
  <c r="J24" i="25"/>
  <c r="H24" i="25"/>
  <c r="F24" i="25"/>
  <c r="D24" i="25"/>
  <c r="B24" i="25"/>
  <c r="AB7" i="25"/>
  <c r="Z7" i="25"/>
  <c r="X7" i="25"/>
  <c r="V7" i="25"/>
  <c r="T7" i="25"/>
  <c r="R7" i="25"/>
  <c r="P7" i="25"/>
  <c r="N7" i="25"/>
  <c r="L7" i="25"/>
  <c r="J7" i="25"/>
  <c r="H7" i="25"/>
  <c r="F7" i="25"/>
  <c r="D7" i="25"/>
  <c r="B7" i="25"/>
  <c r="AB15" i="25"/>
  <c r="Z15" i="25"/>
  <c r="X15" i="25"/>
  <c r="V15" i="25"/>
  <c r="T15" i="25"/>
  <c r="R15" i="25"/>
  <c r="P15" i="25"/>
  <c r="N15" i="25"/>
  <c r="L15" i="25"/>
  <c r="J15" i="25"/>
  <c r="H15" i="25"/>
  <c r="F15" i="25"/>
  <c r="D15" i="25"/>
  <c r="B15" i="25"/>
  <c r="AC20" i="25"/>
  <c r="AA20" i="25"/>
  <c r="Y20" i="25"/>
  <c r="W20" i="25"/>
  <c r="U20" i="25"/>
  <c r="S20" i="25"/>
  <c r="Q20" i="25"/>
  <c r="O20" i="25"/>
  <c r="M20" i="25"/>
  <c r="K20" i="25"/>
  <c r="I20" i="25"/>
  <c r="G20" i="25"/>
  <c r="E20" i="25"/>
  <c r="C20" i="25"/>
  <c r="AB6" i="25"/>
  <c r="Z6" i="25"/>
  <c r="X6" i="25"/>
  <c r="V6" i="25"/>
  <c r="T6" i="25"/>
  <c r="R6" i="25"/>
  <c r="P6" i="25"/>
  <c r="N6" i="25"/>
  <c r="L6" i="25"/>
  <c r="J6" i="25"/>
  <c r="H6" i="25"/>
  <c r="F6" i="25"/>
  <c r="D6" i="25"/>
  <c r="B6" i="25"/>
  <c r="AC5" i="25"/>
  <c r="AA5" i="25"/>
  <c r="Y5" i="25"/>
  <c r="W5" i="25"/>
  <c r="U5" i="25"/>
  <c r="S5" i="25"/>
  <c r="Q5" i="25"/>
  <c r="O5" i="25"/>
  <c r="M5" i="25"/>
  <c r="K5" i="25"/>
  <c r="I5" i="25"/>
  <c r="G5" i="25"/>
  <c r="E5" i="25"/>
  <c r="AB4" i="25"/>
  <c r="Z4" i="25"/>
  <c r="X4" i="25"/>
  <c r="V4" i="25"/>
  <c r="T4" i="25"/>
  <c r="R4" i="25"/>
  <c r="P4" i="25"/>
  <c r="N4" i="25"/>
  <c r="L4" i="25"/>
  <c r="J4" i="25"/>
  <c r="H4" i="25"/>
  <c r="F4" i="25"/>
  <c r="D4" i="25"/>
  <c r="B4" i="25"/>
  <c r="D57" i="27" l="1"/>
  <c r="D74" i="27" s="1"/>
  <c r="D76" i="27"/>
  <c r="K8" i="26"/>
  <c r="K9" i="26" s="1"/>
  <c r="W8" i="26"/>
  <c r="W9" i="26" s="1"/>
  <c r="AA7" i="26"/>
  <c r="AA8" i="26" s="1"/>
  <c r="AA9" i="26" s="1"/>
  <c r="K6" i="26"/>
  <c r="W6" i="26"/>
  <c r="O30" i="26"/>
  <c r="O29" i="26"/>
  <c r="O31" i="26" s="1"/>
  <c r="O32" i="26" s="1"/>
  <c r="C39" i="26"/>
  <c r="C40" i="26"/>
  <c r="O39" i="26"/>
  <c r="O40" i="26"/>
  <c r="AA39" i="26"/>
  <c r="AA40" i="26"/>
  <c r="G7" i="26"/>
  <c r="G8" i="26" s="1"/>
  <c r="G9" i="26" s="1"/>
  <c r="S7" i="26"/>
  <c r="S8" i="26" s="1"/>
  <c r="S9" i="26" s="1"/>
  <c r="O6" i="26"/>
  <c r="AA6" i="26"/>
  <c r="AA28" i="26"/>
  <c r="G40" i="26"/>
  <c r="G39" i="26"/>
  <c r="G41" i="26" s="1"/>
  <c r="G42" i="26" s="1"/>
  <c r="S40" i="26"/>
  <c r="S39" i="26"/>
  <c r="S41" i="26" s="1"/>
  <c r="S42" i="26" s="1"/>
  <c r="AC39" i="26"/>
  <c r="AC40" i="26"/>
  <c r="E8" i="26"/>
  <c r="E9" i="26" s="1"/>
  <c r="E7" i="26"/>
  <c r="Q7" i="26"/>
  <c r="Q8" i="26" s="1"/>
  <c r="Q9" i="26" s="1"/>
  <c r="AC7" i="26"/>
  <c r="AC8" i="26" s="1"/>
  <c r="AC9" i="26" s="1"/>
  <c r="E29" i="26"/>
  <c r="E31" i="26" s="1"/>
  <c r="E32" i="26" s="1"/>
  <c r="E30" i="26"/>
  <c r="Q29" i="26"/>
  <c r="Q30" i="26"/>
  <c r="AC29" i="26"/>
  <c r="AC30" i="26"/>
  <c r="I38" i="26"/>
  <c r="G28" i="26"/>
  <c r="K39" i="26"/>
  <c r="K40" i="26"/>
  <c r="W39" i="26"/>
  <c r="W41" i="26" s="1"/>
  <c r="W42" i="26" s="1"/>
  <c r="W40" i="26"/>
  <c r="K7" i="26"/>
  <c r="W7" i="26"/>
  <c r="M7" i="26"/>
  <c r="M8" i="26" s="1"/>
  <c r="M9" i="26" s="1"/>
  <c r="Y7" i="26"/>
  <c r="Y8" i="26" s="1"/>
  <c r="Y9" i="26" s="1"/>
  <c r="O7" i="26"/>
  <c r="C30" i="26"/>
  <c r="C29" i="26"/>
  <c r="C31" i="26" s="1"/>
  <c r="C32" i="26" s="1"/>
  <c r="I7" i="26"/>
  <c r="I8" i="26" s="1"/>
  <c r="I9" i="26" s="1"/>
  <c r="U7" i="26"/>
  <c r="U8" i="26" s="1"/>
  <c r="U9" i="26" s="1"/>
  <c r="G27" i="26"/>
  <c r="M27" i="26"/>
  <c r="M28" i="26" s="1"/>
  <c r="S27" i="26"/>
  <c r="S28" i="26" s="1"/>
  <c r="Y27" i="26"/>
  <c r="Y28" i="26" s="1"/>
  <c r="M37" i="26"/>
  <c r="M38" i="26" s="1"/>
  <c r="Y37" i="26"/>
  <c r="Y38" i="26" s="1"/>
  <c r="E38" i="26"/>
  <c r="Q38" i="26"/>
  <c r="I27" i="26"/>
  <c r="I28" i="26" s="1"/>
  <c r="U27" i="26"/>
  <c r="U28" i="26" s="1"/>
  <c r="I37" i="26"/>
  <c r="U37" i="26"/>
  <c r="U38" i="26" s="1"/>
  <c r="K28" i="26"/>
  <c r="W28" i="26"/>
  <c r="G37" i="25"/>
  <c r="G38" i="25" s="1"/>
  <c r="G39" i="25" s="1"/>
  <c r="S37" i="25"/>
  <c r="S38" i="25" s="1"/>
  <c r="S40" i="25" s="1"/>
  <c r="K38" i="25"/>
  <c r="K39" i="25" s="1"/>
  <c r="W38" i="25"/>
  <c r="W39" i="25" s="1"/>
  <c r="M37" i="25"/>
  <c r="M38" i="25" s="1"/>
  <c r="M40" i="25" s="1"/>
  <c r="Y37" i="25"/>
  <c r="Y38" i="25" s="1"/>
  <c r="Y40" i="25" s="1"/>
  <c r="O37" i="25"/>
  <c r="O38" i="25" s="1"/>
  <c r="O40" i="25" s="1"/>
  <c r="E38" i="25"/>
  <c r="E39" i="25" s="1"/>
  <c r="Q37" i="25"/>
  <c r="Q38" i="25" s="1"/>
  <c r="Q39" i="25" s="1"/>
  <c r="C37" i="25"/>
  <c r="C38" i="25" s="1"/>
  <c r="I37" i="25"/>
  <c r="I38" i="25" s="1"/>
  <c r="I40" i="25" s="1"/>
  <c r="U37" i="25"/>
  <c r="U38" i="25" s="1"/>
  <c r="U40" i="25" s="1"/>
  <c r="AA37" i="25"/>
  <c r="AA38" i="25" s="1"/>
  <c r="AA40" i="25" s="1"/>
  <c r="AC37" i="25"/>
  <c r="AC38" i="25" s="1"/>
  <c r="AC39" i="25" s="1"/>
  <c r="C27" i="25"/>
  <c r="C28" i="25" s="1"/>
  <c r="C29" i="25" s="1"/>
  <c r="M27" i="25"/>
  <c r="M28" i="25" s="1"/>
  <c r="M29" i="25" s="1"/>
  <c r="Y27" i="25"/>
  <c r="Y28" i="25" s="1"/>
  <c r="Y29" i="25" s="1"/>
  <c r="U27" i="25"/>
  <c r="U28" i="25" s="1"/>
  <c r="U29" i="25" s="1"/>
  <c r="O27" i="25"/>
  <c r="O28" i="25" s="1"/>
  <c r="O29" i="25" s="1"/>
  <c r="AA27" i="25"/>
  <c r="AA28" i="25" s="1"/>
  <c r="AA29" i="25" s="1"/>
  <c r="G27" i="25"/>
  <c r="G28" i="25" s="1"/>
  <c r="G29" i="25" s="1"/>
  <c r="S27" i="25"/>
  <c r="S28" i="25" s="1"/>
  <c r="S29" i="25" s="1"/>
  <c r="I27" i="25"/>
  <c r="I28" i="25" s="1"/>
  <c r="I29" i="25" s="1"/>
  <c r="W27" i="25"/>
  <c r="W28" i="25" s="1"/>
  <c r="W29" i="25" s="1"/>
  <c r="E27" i="25"/>
  <c r="E28" i="25" s="1"/>
  <c r="E29" i="25" s="1"/>
  <c r="Q27" i="25"/>
  <c r="Q28" i="25" s="1"/>
  <c r="Q29" i="25" s="1"/>
  <c r="AC27" i="25"/>
  <c r="AC28" i="25" s="1"/>
  <c r="AC29" i="25" s="1"/>
  <c r="K27" i="25"/>
  <c r="K28" i="25" s="1"/>
  <c r="K29" i="25" s="1"/>
  <c r="AA6" i="25"/>
  <c r="AA7" i="25" s="1"/>
  <c r="O6" i="25"/>
  <c r="O7" i="25" s="1"/>
  <c r="M6" i="25"/>
  <c r="M7" i="25" s="1"/>
  <c r="Y6" i="25"/>
  <c r="Y7" i="25" s="1"/>
  <c r="E6" i="25"/>
  <c r="E7" i="25" s="1"/>
  <c r="S6" i="25"/>
  <c r="S7" i="25" s="1"/>
  <c r="U6" i="25"/>
  <c r="U7" i="25" s="1"/>
  <c r="K6" i="25"/>
  <c r="K7" i="25" s="1"/>
  <c r="W6" i="25"/>
  <c r="W7" i="25" s="1"/>
  <c r="AC6" i="25"/>
  <c r="G6" i="25"/>
  <c r="G7" i="25" s="1"/>
  <c r="Q6" i="25"/>
  <c r="Q7" i="25" s="1"/>
  <c r="I6" i="25"/>
  <c r="I7" i="25" s="1"/>
  <c r="E37" i="19"/>
  <c r="E36" i="19"/>
  <c r="D63" i="14"/>
  <c r="D63" i="24"/>
  <c r="D30" i="24"/>
  <c r="D30" i="14"/>
  <c r="D29" i="24"/>
  <c r="D29" i="14"/>
  <c r="D64" i="11"/>
  <c r="D64" i="10"/>
  <c r="D63" i="3"/>
  <c r="D63" i="4"/>
  <c r="D63" i="5"/>
  <c r="D63" i="6"/>
  <c r="D63" i="8"/>
  <c r="D63" i="9"/>
  <c r="D63" i="12"/>
  <c r="D63" i="13"/>
  <c r="D63" i="15"/>
  <c r="D63" i="16"/>
  <c r="D63" i="2"/>
  <c r="D150" i="27" l="1"/>
  <c r="D102" i="27"/>
  <c r="D100" i="27"/>
  <c r="D101" i="27"/>
  <c r="D98" i="27"/>
  <c r="D99" i="27"/>
  <c r="D97" i="27"/>
  <c r="D109" i="27"/>
  <c r="D110" i="27" s="1"/>
  <c r="D117" i="27" s="1"/>
  <c r="U39" i="26"/>
  <c r="U40" i="26"/>
  <c r="U10" i="26"/>
  <c r="U16" i="26" s="1"/>
  <c r="U12" i="26"/>
  <c r="U18" i="26" s="1"/>
  <c r="U11" i="26"/>
  <c r="U17" i="26" s="1"/>
  <c r="G10" i="26"/>
  <c r="G16" i="26" s="1"/>
  <c r="G11" i="26"/>
  <c r="G17" i="26" s="1"/>
  <c r="G12" i="26"/>
  <c r="G18" i="26" s="1"/>
  <c r="U30" i="26"/>
  <c r="U29" i="26"/>
  <c r="Y30" i="26"/>
  <c r="Y29" i="26"/>
  <c r="I30" i="26"/>
  <c r="I29" i="26"/>
  <c r="I31" i="26" s="1"/>
  <c r="I32" i="26" s="1"/>
  <c r="S29" i="26"/>
  <c r="S31" i="26" s="1"/>
  <c r="S32" i="26" s="1"/>
  <c r="S30" i="26"/>
  <c r="AC11" i="26"/>
  <c r="AC17" i="26" s="1"/>
  <c r="AC10" i="26"/>
  <c r="AC16" i="26" s="1"/>
  <c r="AC12" i="26"/>
  <c r="AC18" i="26" s="1"/>
  <c r="M30" i="26"/>
  <c r="M29" i="26"/>
  <c r="M31" i="26" s="1"/>
  <c r="M32" i="26" s="1"/>
  <c r="Q11" i="26"/>
  <c r="Q17" i="26" s="1"/>
  <c r="Q10" i="26"/>
  <c r="Q16" i="26" s="1"/>
  <c r="Q12" i="26"/>
  <c r="Q18" i="26" s="1"/>
  <c r="Y12" i="26"/>
  <c r="Y18" i="26" s="1"/>
  <c r="Y11" i="26"/>
  <c r="Y17" i="26" s="1"/>
  <c r="Y10" i="26"/>
  <c r="Y16" i="26" s="1"/>
  <c r="Y19" i="26" s="1"/>
  <c r="Y21" i="26" s="1"/>
  <c r="S10" i="26"/>
  <c r="S16" i="26" s="1"/>
  <c r="S11" i="26"/>
  <c r="S17" i="26" s="1"/>
  <c r="S12" i="26"/>
  <c r="S18" i="26" s="1"/>
  <c r="AA11" i="26"/>
  <c r="AA17" i="26" s="1"/>
  <c r="AA12" i="26"/>
  <c r="AA18" i="26" s="1"/>
  <c r="AA10" i="26"/>
  <c r="AA16" i="26" s="1"/>
  <c r="AA19" i="26" s="1"/>
  <c r="AA21" i="26" s="1"/>
  <c r="Y40" i="26"/>
  <c r="Y39" i="26"/>
  <c r="Y41" i="26" s="1"/>
  <c r="Y42" i="26" s="1"/>
  <c r="M12" i="26"/>
  <c r="M18" i="26" s="1"/>
  <c r="M11" i="26"/>
  <c r="M17" i="26" s="1"/>
  <c r="M10" i="26"/>
  <c r="M16" i="26" s="1"/>
  <c r="M40" i="26"/>
  <c r="M39" i="26"/>
  <c r="I10" i="26"/>
  <c r="I16" i="26" s="1"/>
  <c r="I12" i="26"/>
  <c r="I18" i="26" s="1"/>
  <c r="I11" i="26"/>
  <c r="I17" i="26" s="1"/>
  <c r="E11" i="26"/>
  <c r="E17" i="26" s="1"/>
  <c r="E10" i="26"/>
  <c r="E16" i="26" s="1"/>
  <c r="E12" i="26"/>
  <c r="E18" i="26" s="1"/>
  <c r="C41" i="26"/>
  <c r="C42" i="26" s="1"/>
  <c r="K41" i="26"/>
  <c r="K42" i="26" s="1"/>
  <c r="AC31" i="26"/>
  <c r="AC32" i="26" s="1"/>
  <c r="AA30" i="26"/>
  <c r="AA29" i="26"/>
  <c r="AA31" i="26" s="1"/>
  <c r="AA32" i="26" s="1"/>
  <c r="K12" i="26"/>
  <c r="K18" i="26" s="1"/>
  <c r="K10" i="26"/>
  <c r="K16" i="26" s="1"/>
  <c r="K11" i="26"/>
  <c r="K17" i="26" s="1"/>
  <c r="AC41" i="26"/>
  <c r="AC42" i="26" s="1"/>
  <c r="AA41" i="26"/>
  <c r="AA42" i="26" s="1"/>
  <c r="W30" i="26"/>
  <c r="W29" i="26"/>
  <c r="Q39" i="26"/>
  <c r="Q40" i="26"/>
  <c r="G29" i="26"/>
  <c r="G30" i="26"/>
  <c r="Q31" i="26"/>
  <c r="Q32" i="26" s="1"/>
  <c r="O8" i="26"/>
  <c r="O9" i="26" s="1"/>
  <c r="K30" i="26"/>
  <c r="K29" i="26"/>
  <c r="K31" i="26" s="1"/>
  <c r="K32" i="26" s="1"/>
  <c r="E39" i="26"/>
  <c r="E40" i="26"/>
  <c r="O41" i="26"/>
  <c r="O42" i="26" s="1"/>
  <c r="I39" i="26"/>
  <c r="I40" i="26"/>
  <c r="W12" i="26"/>
  <c r="W18" i="26" s="1"/>
  <c r="W10" i="26"/>
  <c r="W16" i="26" s="1"/>
  <c r="W11" i="26"/>
  <c r="W17" i="26" s="1"/>
  <c r="M31" i="25"/>
  <c r="W31" i="25"/>
  <c r="Y31" i="25"/>
  <c r="C31" i="25"/>
  <c r="AC31" i="25"/>
  <c r="M39" i="25"/>
  <c r="M41" i="25" s="1"/>
  <c r="Y39" i="25"/>
  <c r="Y41" i="25" s="1"/>
  <c r="G40" i="25"/>
  <c r="G41" i="25" s="1"/>
  <c r="I39" i="25"/>
  <c r="I41" i="25" s="1"/>
  <c r="E40" i="25"/>
  <c r="E41" i="25" s="1"/>
  <c r="S39" i="25"/>
  <c r="S41" i="25" s="1"/>
  <c r="C40" i="25"/>
  <c r="C39" i="25"/>
  <c r="W40" i="25"/>
  <c r="W41" i="25" s="1"/>
  <c r="Q40" i="25"/>
  <c r="Q41" i="25" s="1"/>
  <c r="AA39" i="25"/>
  <c r="AA41" i="25" s="1"/>
  <c r="O39" i="25"/>
  <c r="O41" i="25" s="1"/>
  <c r="U39" i="25"/>
  <c r="U41" i="25" s="1"/>
  <c r="AC40" i="25"/>
  <c r="AC41" i="25" s="1"/>
  <c r="K40" i="25"/>
  <c r="K41" i="25" s="1"/>
  <c r="O30" i="25"/>
  <c r="O31" i="25" s="1"/>
  <c r="W30" i="25"/>
  <c r="U30" i="25"/>
  <c r="U31" i="25" s="1"/>
  <c r="I30" i="25"/>
  <c r="I31" i="25" s="1"/>
  <c r="Y30" i="25"/>
  <c r="K30" i="25"/>
  <c r="K31" i="25" s="1"/>
  <c r="S30" i="25"/>
  <c r="S31" i="25" s="1"/>
  <c r="M30" i="25"/>
  <c r="AC30" i="25"/>
  <c r="G30" i="25"/>
  <c r="G31" i="25" s="1"/>
  <c r="C30" i="25"/>
  <c r="Q30" i="25"/>
  <c r="Q31" i="25" s="1"/>
  <c r="AA30" i="25"/>
  <c r="AA31" i="25" s="1"/>
  <c r="E30" i="25"/>
  <c r="E31" i="25" s="1"/>
  <c r="Q8" i="25"/>
  <c r="Q9" i="25" s="1"/>
  <c r="G8" i="25"/>
  <c r="G9" i="25" s="1"/>
  <c r="AC7" i="25"/>
  <c r="AC8" i="25" s="1"/>
  <c r="AC9" i="25" s="1"/>
  <c r="K8" i="25"/>
  <c r="K9" i="25" s="1"/>
  <c r="O8" i="25"/>
  <c r="O9" i="25" s="1"/>
  <c r="I8" i="25"/>
  <c r="I9" i="25" s="1"/>
  <c r="U8" i="25"/>
  <c r="U9" i="25" s="1"/>
  <c r="Y8" i="25"/>
  <c r="Y9" i="25" s="1"/>
  <c r="S8" i="25"/>
  <c r="S9" i="25" s="1"/>
  <c r="D63" i="7"/>
  <c r="F29" i="19"/>
  <c r="B29" i="19"/>
  <c r="C143" i="24"/>
  <c r="C136" i="24"/>
  <c r="D128" i="24"/>
  <c r="D153" i="24" s="1"/>
  <c r="C101" i="24"/>
  <c r="C100" i="24"/>
  <c r="C99" i="24"/>
  <c r="C98" i="24"/>
  <c r="C97" i="24"/>
  <c r="C87" i="24"/>
  <c r="C85" i="24"/>
  <c r="C84" i="24"/>
  <c r="C82" i="24"/>
  <c r="D67" i="24"/>
  <c r="D75" i="24" s="1"/>
  <c r="C57" i="24"/>
  <c r="C86" i="24" s="1"/>
  <c r="C42" i="24"/>
  <c r="C41" i="24"/>
  <c r="C43" i="24" s="1"/>
  <c r="D28" i="24"/>
  <c r="D33" i="24" s="1"/>
  <c r="D103" i="27" l="1"/>
  <c r="D116" i="27" s="1"/>
  <c r="D118" i="27" s="1"/>
  <c r="D152" i="27" s="1"/>
  <c r="D154" i="27"/>
  <c r="Y31" i="26"/>
  <c r="Y32" i="26" s="1"/>
  <c r="W31" i="26"/>
  <c r="W32" i="26" s="1"/>
  <c r="U19" i="26"/>
  <c r="U21" i="26" s="1"/>
  <c r="M19" i="26"/>
  <c r="M21" i="26" s="1"/>
  <c r="M41" i="26"/>
  <c r="M42" i="26" s="1"/>
  <c r="Q41" i="26"/>
  <c r="Q42" i="26" s="1"/>
  <c r="I41" i="26"/>
  <c r="I42" i="26" s="1"/>
  <c r="U41" i="26"/>
  <c r="U42" i="26" s="1"/>
  <c r="E19" i="26"/>
  <c r="E21" i="26" s="1"/>
  <c r="AC19" i="26"/>
  <c r="AC21" i="26" s="1"/>
  <c r="G19" i="26"/>
  <c r="G21" i="26" s="1"/>
  <c r="Q19" i="26"/>
  <c r="Q21" i="26" s="1"/>
  <c r="K19" i="26"/>
  <c r="K21" i="26" s="1"/>
  <c r="I19" i="26"/>
  <c r="I21" i="26" s="1"/>
  <c r="O11" i="26"/>
  <c r="O17" i="26" s="1"/>
  <c r="O12" i="26"/>
  <c r="O18" i="26" s="1"/>
  <c r="O10" i="26"/>
  <c r="O16" i="26" s="1"/>
  <c r="W19" i="26"/>
  <c r="W21" i="26" s="1"/>
  <c r="E41" i="26"/>
  <c r="E42" i="26" s="1"/>
  <c r="G31" i="26"/>
  <c r="G32" i="26" s="1"/>
  <c r="S19" i="26"/>
  <c r="S21" i="26" s="1"/>
  <c r="U31" i="26"/>
  <c r="U32" i="26" s="1"/>
  <c r="C41" i="25"/>
  <c r="Q12" i="25"/>
  <c r="Q18" i="25" s="1"/>
  <c r="Q11" i="25"/>
  <c r="Q17" i="25" s="1"/>
  <c r="Q10" i="25"/>
  <c r="Q16" i="25" s="1"/>
  <c r="E8" i="25"/>
  <c r="E9" i="25" s="1"/>
  <c r="AC12" i="25"/>
  <c r="AC18" i="25" s="1"/>
  <c r="AC11" i="25"/>
  <c r="AC17" i="25" s="1"/>
  <c r="AC10" i="25"/>
  <c r="AC16" i="25" s="1"/>
  <c r="G10" i="25"/>
  <c r="G16" i="25" s="1"/>
  <c r="G12" i="25"/>
  <c r="G18" i="25" s="1"/>
  <c r="G11" i="25"/>
  <c r="G17" i="25" s="1"/>
  <c r="W8" i="25"/>
  <c r="W9" i="25" s="1"/>
  <c r="W11" i="25" s="1"/>
  <c r="W17" i="25" s="1"/>
  <c r="AA8" i="25"/>
  <c r="AA9" i="25" s="1"/>
  <c r="S12" i="25"/>
  <c r="S18" i="25" s="1"/>
  <c r="S11" i="25"/>
  <c r="S17" i="25" s="1"/>
  <c r="S10" i="25"/>
  <c r="S16" i="25" s="1"/>
  <c r="K11" i="25"/>
  <c r="K17" i="25" s="1"/>
  <c r="K10" i="25"/>
  <c r="K16" i="25" s="1"/>
  <c r="K12" i="25"/>
  <c r="K18" i="25" s="1"/>
  <c r="Y10" i="25"/>
  <c r="Y16" i="25" s="1"/>
  <c r="Y12" i="25"/>
  <c r="Y18" i="25" s="1"/>
  <c r="Y11" i="25"/>
  <c r="Y17" i="25" s="1"/>
  <c r="I11" i="25"/>
  <c r="I17" i="25" s="1"/>
  <c r="I10" i="25"/>
  <c r="I16" i="25" s="1"/>
  <c r="I12" i="25"/>
  <c r="I18" i="25" s="1"/>
  <c r="U11" i="25"/>
  <c r="U17" i="25" s="1"/>
  <c r="U10" i="25"/>
  <c r="U16" i="25" s="1"/>
  <c r="U12" i="25"/>
  <c r="U18" i="25" s="1"/>
  <c r="O10" i="25"/>
  <c r="O16" i="25" s="1"/>
  <c r="O12" i="25"/>
  <c r="O18" i="25" s="1"/>
  <c r="O11" i="25"/>
  <c r="O17" i="25" s="1"/>
  <c r="M8" i="25"/>
  <c r="M9" i="25" s="1"/>
  <c r="D149" i="24"/>
  <c r="D85" i="24"/>
  <c r="D86" i="24" s="1"/>
  <c r="D87" i="24"/>
  <c r="D42" i="24"/>
  <c r="D84" i="24"/>
  <c r="D41" i="24"/>
  <c r="D82" i="24"/>
  <c r="D134" i="27" l="1"/>
  <c r="D135" i="27"/>
  <c r="D136" i="27"/>
  <c r="A47" i="26"/>
  <c r="A49" i="26"/>
  <c r="O19" i="26"/>
  <c r="O21" i="26" s="1"/>
  <c r="S19" i="25"/>
  <c r="S21" i="25" s="1"/>
  <c r="Q19" i="25"/>
  <c r="Q21" i="25" s="1"/>
  <c r="W12" i="25"/>
  <c r="W18" i="25" s="1"/>
  <c r="W10" i="25"/>
  <c r="W16" i="25" s="1"/>
  <c r="W19" i="25" s="1"/>
  <c r="W21" i="25" s="1"/>
  <c r="E12" i="25"/>
  <c r="E18" i="25" s="1"/>
  <c r="E11" i="25"/>
  <c r="E17" i="25" s="1"/>
  <c r="E10" i="25"/>
  <c r="E16" i="25" s="1"/>
  <c r="G19" i="25"/>
  <c r="G21" i="25" s="1"/>
  <c r="AC19" i="25"/>
  <c r="AC21" i="25" s="1"/>
  <c r="AA10" i="25"/>
  <c r="AA16" i="25" s="1"/>
  <c r="AA12" i="25"/>
  <c r="AA18" i="25" s="1"/>
  <c r="AA11" i="25"/>
  <c r="AA17" i="25" s="1"/>
  <c r="O19" i="25"/>
  <c r="O21" i="25" s="1"/>
  <c r="U19" i="25"/>
  <c r="U21" i="25" s="1"/>
  <c r="M10" i="25"/>
  <c r="M16" i="25" s="1"/>
  <c r="M12" i="25"/>
  <c r="M18" i="25" s="1"/>
  <c r="M11" i="25"/>
  <c r="M17" i="25" s="1"/>
  <c r="K19" i="25"/>
  <c r="K21" i="25" s="1"/>
  <c r="Y19" i="25"/>
  <c r="Y21" i="25" s="1"/>
  <c r="I19" i="25"/>
  <c r="I21" i="25" s="1"/>
  <c r="D43" i="24"/>
  <c r="D73" i="24" s="1"/>
  <c r="D83" i="24"/>
  <c r="D88" i="24" s="1"/>
  <c r="D151" i="24" s="1"/>
  <c r="D63" i="11"/>
  <c r="D63" i="10"/>
  <c r="D63" i="1"/>
  <c r="D143" i="27" l="1"/>
  <c r="D155" i="27" s="1"/>
  <c r="D156" i="27" s="1"/>
  <c r="E19" i="25"/>
  <c r="E21" i="25" s="1"/>
  <c r="AA19" i="25"/>
  <c r="AA21" i="25" s="1"/>
  <c r="M19" i="25"/>
  <c r="M21" i="25" s="1"/>
  <c r="D56" i="24"/>
  <c r="D52" i="24"/>
  <c r="D51" i="24"/>
  <c r="D54" i="24"/>
  <c r="D53" i="24"/>
  <c r="D50" i="24"/>
  <c r="D55" i="24"/>
  <c r="D49" i="24"/>
  <c r="C136" i="3"/>
  <c r="C143" i="3" s="1"/>
  <c r="C143" i="4"/>
  <c r="C136" i="4"/>
  <c r="C136" i="5"/>
  <c r="C143" i="5" s="1"/>
  <c r="C136" i="6"/>
  <c r="C143" i="6" s="1"/>
  <c r="C143" i="7"/>
  <c r="C136" i="7"/>
  <c r="C136" i="8"/>
  <c r="C143" i="8" s="1"/>
  <c r="C136" i="9"/>
  <c r="C143" i="9" s="1"/>
  <c r="C143" i="10"/>
  <c r="C136" i="10"/>
  <c r="C136" i="11"/>
  <c r="C143" i="11" s="1"/>
  <c r="C136" i="12"/>
  <c r="C143" i="12" s="1"/>
  <c r="C143" i="13"/>
  <c r="C136" i="13"/>
  <c r="C136" i="14"/>
  <c r="C143" i="14" s="1"/>
  <c r="C136" i="15"/>
  <c r="C143" i="15" s="1"/>
  <c r="C143" i="16"/>
  <c r="C136" i="16"/>
  <c r="C136" i="2"/>
  <c r="C143" i="2" s="1"/>
  <c r="C143" i="1"/>
  <c r="D138" i="27" l="1"/>
  <c r="D142" i="27"/>
  <c r="D139" i="27"/>
  <c r="D141" i="27"/>
  <c r="D140" i="27"/>
  <c r="D137" i="27"/>
  <c r="D57" i="24"/>
  <c r="D74" i="24" s="1"/>
  <c r="D76" i="24" s="1"/>
  <c r="D97" i="24" s="1"/>
  <c r="D109" i="24" l="1"/>
  <c r="D110" i="24" s="1"/>
  <c r="D117" i="24" s="1"/>
  <c r="D99" i="24"/>
  <c r="D150" i="24"/>
  <c r="D98" i="24"/>
  <c r="D102" i="24"/>
  <c r="D100" i="24"/>
  <c r="D101" i="24"/>
  <c r="E66" i="19"/>
  <c r="F37" i="19"/>
  <c r="G37" i="19" s="1"/>
  <c r="F36" i="19"/>
  <c r="G36" i="19" s="1"/>
  <c r="F28" i="19"/>
  <c r="B28" i="19"/>
  <c r="F27" i="19"/>
  <c r="B27" i="19"/>
  <c r="F30" i="19"/>
  <c r="B30" i="19"/>
  <c r="F26" i="19"/>
  <c r="B26" i="19"/>
  <c r="F25" i="19"/>
  <c r="B25" i="19"/>
  <c r="F24" i="19"/>
  <c r="B24" i="19"/>
  <c r="F23" i="19"/>
  <c r="B23" i="19"/>
  <c r="F22" i="19"/>
  <c r="B22" i="19"/>
  <c r="F21" i="19"/>
  <c r="B21" i="19"/>
  <c r="F20" i="19"/>
  <c r="B20" i="19"/>
  <c r="F19" i="19"/>
  <c r="B19" i="19"/>
  <c r="F18" i="19"/>
  <c r="B18" i="19"/>
  <c r="F17" i="19"/>
  <c r="B17" i="19"/>
  <c r="F16" i="19"/>
  <c r="B16" i="19"/>
  <c r="F15" i="19"/>
  <c r="B15" i="19"/>
  <c r="F14" i="19"/>
  <c r="B14" i="19"/>
  <c r="D128" i="16"/>
  <c r="D153" i="16" s="1"/>
  <c r="C101" i="16"/>
  <c r="C100" i="16"/>
  <c r="C99" i="16"/>
  <c r="C98" i="16"/>
  <c r="C97" i="16"/>
  <c r="C87" i="16"/>
  <c r="C85" i="16"/>
  <c r="C84" i="16"/>
  <c r="C82" i="16"/>
  <c r="D67" i="16"/>
  <c r="D75" i="16" s="1"/>
  <c r="C57" i="16"/>
  <c r="C42" i="16"/>
  <c r="C43" i="16" s="1"/>
  <c r="C41" i="16"/>
  <c r="D28" i="16"/>
  <c r="D33" i="16" s="1"/>
  <c r="D84" i="16" s="1"/>
  <c r="D128" i="15"/>
  <c r="D153" i="15" s="1"/>
  <c r="C101" i="15"/>
  <c r="C100" i="15"/>
  <c r="C99" i="15"/>
  <c r="C98" i="15"/>
  <c r="C97" i="15"/>
  <c r="C87" i="15"/>
  <c r="C85" i="15"/>
  <c r="C84" i="15"/>
  <c r="C82" i="15"/>
  <c r="D67" i="15"/>
  <c r="D75" i="15" s="1"/>
  <c r="C57" i="15"/>
  <c r="C42" i="15"/>
  <c r="C41" i="15"/>
  <c r="C43" i="15" s="1"/>
  <c r="D28" i="15"/>
  <c r="D33" i="15" s="1"/>
  <c r="D128" i="14"/>
  <c r="D153" i="14" s="1"/>
  <c r="C101" i="14"/>
  <c r="C100" i="14"/>
  <c r="C99" i="14"/>
  <c r="C98" i="14"/>
  <c r="C97" i="14"/>
  <c r="C87" i="14"/>
  <c r="C85" i="14"/>
  <c r="C84" i="14"/>
  <c r="C82" i="14"/>
  <c r="D67" i="14"/>
  <c r="D75" i="14" s="1"/>
  <c r="C57" i="14"/>
  <c r="C42" i="14"/>
  <c r="C41" i="14"/>
  <c r="C43" i="14" s="1"/>
  <c r="D28" i="14"/>
  <c r="D33" i="14" s="1"/>
  <c r="D128" i="13"/>
  <c r="D153" i="13" s="1"/>
  <c r="C101" i="13"/>
  <c r="C100" i="13"/>
  <c r="C99" i="13"/>
  <c r="C98" i="13"/>
  <c r="C97" i="13"/>
  <c r="C87" i="13"/>
  <c r="C85" i="13"/>
  <c r="C84" i="13"/>
  <c r="C82" i="13"/>
  <c r="C57" i="13"/>
  <c r="C42" i="13"/>
  <c r="C41" i="13"/>
  <c r="C43" i="13" s="1"/>
  <c r="D28" i="13"/>
  <c r="D33" i="13" s="1"/>
  <c r="D128" i="12"/>
  <c r="D153" i="12" s="1"/>
  <c r="C101" i="12"/>
  <c r="C100" i="12"/>
  <c r="C99" i="12"/>
  <c r="C98" i="12"/>
  <c r="C97" i="12"/>
  <c r="C87" i="12"/>
  <c r="C86" i="12"/>
  <c r="C85" i="12"/>
  <c r="C84" i="12"/>
  <c r="C82" i="12"/>
  <c r="D67" i="12"/>
  <c r="D75" i="12" s="1"/>
  <c r="C57" i="12"/>
  <c r="C43" i="12"/>
  <c r="C42" i="12"/>
  <c r="C41" i="12"/>
  <c r="D28" i="12"/>
  <c r="D33" i="12" s="1"/>
  <c r="D82" i="12" s="1"/>
  <c r="D83" i="12" s="1"/>
  <c r="D128" i="11"/>
  <c r="D153" i="11" s="1"/>
  <c r="C101" i="11"/>
  <c r="C100" i="11"/>
  <c r="C99" i="11"/>
  <c r="C98" i="11"/>
  <c r="C97" i="11"/>
  <c r="C87" i="11"/>
  <c r="C85" i="11"/>
  <c r="C84" i="11"/>
  <c r="C82" i="11"/>
  <c r="D67" i="11"/>
  <c r="D75" i="11" s="1"/>
  <c r="C57" i="11"/>
  <c r="C86" i="11" s="1"/>
  <c r="C42" i="11"/>
  <c r="C41" i="11"/>
  <c r="C43" i="11" s="1"/>
  <c r="D27" i="11"/>
  <c r="D30" i="11" s="1"/>
  <c r="D128" i="10"/>
  <c r="D153" i="10" s="1"/>
  <c r="C101" i="10"/>
  <c r="C100" i="10"/>
  <c r="C99" i="10"/>
  <c r="C98" i="10"/>
  <c r="C97" i="10"/>
  <c r="C87" i="10"/>
  <c r="C85" i="10"/>
  <c r="C84" i="10"/>
  <c r="C82" i="10"/>
  <c r="D67" i="10"/>
  <c r="D75" i="10" s="1"/>
  <c r="C57" i="10"/>
  <c r="C86" i="10" s="1"/>
  <c r="C42" i="10"/>
  <c r="C41" i="10"/>
  <c r="D27" i="10"/>
  <c r="D33" i="10" s="1"/>
  <c r="D128" i="9"/>
  <c r="D153" i="9" s="1"/>
  <c r="C101" i="9"/>
  <c r="C100" i="9"/>
  <c r="C99" i="9"/>
  <c r="C98" i="9"/>
  <c r="C97" i="9"/>
  <c r="C87" i="9"/>
  <c r="C85" i="9"/>
  <c r="C84" i="9"/>
  <c r="C82" i="9"/>
  <c r="C57" i="9"/>
  <c r="C42" i="9"/>
  <c r="C43" i="9" s="1"/>
  <c r="C41" i="9"/>
  <c r="D27" i="9"/>
  <c r="D33" i="9" s="1"/>
  <c r="D128" i="8"/>
  <c r="D153" i="8" s="1"/>
  <c r="C101" i="8"/>
  <c r="C100" i="8"/>
  <c r="C99" i="8"/>
  <c r="C98" i="8"/>
  <c r="C97" i="8"/>
  <c r="C87" i="8"/>
  <c r="C85" i="8"/>
  <c r="C84" i="8"/>
  <c r="C82" i="8"/>
  <c r="D67" i="8"/>
  <c r="D75" i="8" s="1"/>
  <c r="C57" i="8"/>
  <c r="C86" i="8" s="1"/>
  <c r="C42" i="8"/>
  <c r="C41" i="8"/>
  <c r="D33" i="8"/>
  <c r="D82" i="8" s="1"/>
  <c r="D28" i="8"/>
  <c r="D128" i="7"/>
  <c r="D153" i="7" s="1"/>
  <c r="C101" i="7"/>
  <c r="C100" i="7"/>
  <c r="C99" i="7"/>
  <c r="C98" i="7"/>
  <c r="C97" i="7"/>
  <c r="C87" i="7"/>
  <c r="C85" i="7"/>
  <c r="C84" i="7"/>
  <c r="C82" i="7"/>
  <c r="D67" i="7"/>
  <c r="D75" i="7" s="1"/>
  <c r="C57" i="7"/>
  <c r="C86" i="7" s="1"/>
  <c r="C42" i="7"/>
  <c r="C43" i="7" s="1"/>
  <c r="C41" i="7"/>
  <c r="D27" i="7"/>
  <c r="D33" i="7" s="1"/>
  <c r="D128" i="6"/>
  <c r="D153" i="6" s="1"/>
  <c r="C101" i="6"/>
  <c r="C100" i="6"/>
  <c r="C99" i="6"/>
  <c r="C98" i="6"/>
  <c r="C97" i="6"/>
  <c r="C87" i="6"/>
  <c r="C86" i="6"/>
  <c r="C85" i="6"/>
  <c r="C84" i="6"/>
  <c r="C82" i="6"/>
  <c r="D67" i="6"/>
  <c r="D75" i="6" s="1"/>
  <c r="C57" i="6"/>
  <c r="C42" i="6"/>
  <c r="C41" i="6"/>
  <c r="C43" i="6" s="1"/>
  <c r="D27" i="6"/>
  <c r="D33" i="6" s="1"/>
  <c r="D82" i="6" s="1"/>
  <c r="D128" i="5"/>
  <c r="D153" i="5" s="1"/>
  <c r="C101" i="5"/>
  <c r="C100" i="5"/>
  <c r="C99" i="5"/>
  <c r="C98" i="5"/>
  <c r="C97" i="5"/>
  <c r="C87" i="5"/>
  <c r="C85" i="5"/>
  <c r="C84" i="5"/>
  <c r="C82" i="5"/>
  <c r="D67" i="5"/>
  <c r="D75" i="5" s="1"/>
  <c r="C57" i="5"/>
  <c r="C42" i="5"/>
  <c r="C41" i="5"/>
  <c r="D28" i="5"/>
  <c r="D33" i="5" s="1"/>
  <c r="D128" i="4"/>
  <c r="D153" i="4" s="1"/>
  <c r="C101" i="4"/>
  <c r="C100" i="4"/>
  <c r="C99" i="4"/>
  <c r="C98" i="4"/>
  <c r="C97" i="4"/>
  <c r="C87" i="4"/>
  <c r="C86" i="4"/>
  <c r="C85" i="4"/>
  <c r="C84" i="4"/>
  <c r="C82" i="4"/>
  <c r="C57" i="4"/>
  <c r="C42" i="4"/>
  <c r="C41" i="4"/>
  <c r="C43" i="4" s="1"/>
  <c r="D33" i="4"/>
  <c r="D28" i="4"/>
  <c r="D128" i="3"/>
  <c r="D153" i="3" s="1"/>
  <c r="C101" i="3"/>
  <c r="C100" i="3"/>
  <c r="C99" i="3"/>
  <c r="C98" i="3"/>
  <c r="C97" i="3"/>
  <c r="C87" i="3"/>
  <c r="C85" i="3"/>
  <c r="C84" i="3"/>
  <c r="C82" i="3"/>
  <c r="D67" i="3"/>
  <c r="D75" i="3" s="1"/>
  <c r="C57" i="3"/>
  <c r="C42" i="3"/>
  <c r="C41" i="3"/>
  <c r="D27" i="3"/>
  <c r="D33" i="3" s="1"/>
  <c r="D128" i="2"/>
  <c r="D153" i="2" s="1"/>
  <c r="C101" i="2"/>
  <c r="C100" i="2"/>
  <c r="C99" i="2"/>
  <c r="C98" i="2"/>
  <c r="C97" i="2"/>
  <c r="C87" i="2"/>
  <c r="C85" i="2"/>
  <c r="C84" i="2"/>
  <c r="C82" i="2"/>
  <c r="C57" i="2"/>
  <c r="C86" i="2" s="1"/>
  <c r="C42" i="2"/>
  <c r="C41" i="2"/>
  <c r="C43" i="2" s="1"/>
  <c r="D28" i="2"/>
  <c r="D33" i="2" s="1"/>
  <c r="D85" i="2" s="1"/>
  <c r="D86" i="2" s="1"/>
  <c r="C136" i="1"/>
  <c r="D128" i="1"/>
  <c r="D153" i="1" s="1"/>
  <c r="C101" i="1"/>
  <c r="C100" i="1"/>
  <c r="C99" i="1"/>
  <c r="C98" i="1"/>
  <c r="C97" i="1"/>
  <c r="C87" i="1"/>
  <c r="C86" i="1"/>
  <c r="C85" i="1"/>
  <c r="C84" i="1"/>
  <c r="C82" i="1"/>
  <c r="C57" i="1"/>
  <c r="C42" i="1"/>
  <c r="C43" i="1" s="1"/>
  <c r="C41" i="1"/>
  <c r="D67" i="1"/>
  <c r="D75" i="1" s="1"/>
  <c r="D103" i="24" l="1"/>
  <c r="D116" i="24" s="1"/>
  <c r="D118" i="24" s="1"/>
  <c r="D152" i="24" s="1"/>
  <c r="D154" i="24" s="1"/>
  <c r="D134" i="24" s="1"/>
  <c r="D135" i="24" s="1"/>
  <c r="D29" i="11"/>
  <c r="D33" i="11" s="1"/>
  <c r="D84" i="11" s="1"/>
  <c r="D149" i="7"/>
  <c r="D85" i="7"/>
  <c r="D42" i="7"/>
  <c r="F31" i="19"/>
  <c r="G49" i="19"/>
  <c r="F65" i="19" s="1"/>
  <c r="G38" i="19"/>
  <c r="F64" i="19" s="1"/>
  <c r="D41" i="11"/>
  <c r="D42" i="11"/>
  <c r="D67" i="4"/>
  <c r="D75" i="4" s="1"/>
  <c r="D84" i="2"/>
  <c r="F66" i="19"/>
  <c r="G66" i="19" s="1"/>
  <c r="D84" i="13"/>
  <c r="D41" i="13"/>
  <c r="D42" i="13"/>
  <c r="D67" i="13"/>
  <c r="D75" i="13" s="1"/>
  <c r="C86" i="3"/>
  <c r="D84" i="4"/>
  <c r="D42" i="4"/>
  <c r="D87" i="4"/>
  <c r="D41" i="4"/>
  <c r="D82" i="4"/>
  <c r="D41" i="2"/>
  <c r="D82" i="2"/>
  <c r="D87" i="2"/>
  <c r="D41" i="3"/>
  <c r="D82" i="3"/>
  <c r="D149" i="3"/>
  <c r="D85" i="3"/>
  <c r="D86" i="3" s="1"/>
  <c r="D87" i="3"/>
  <c r="D84" i="3"/>
  <c r="D42" i="3"/>
  <c r="C43" i="3"/>
  <c r="D41" i="5"/>
  <c r="D82" i="5"/>
  <c r="D149" i="5"/>
  <c r="D85" i="5"/>
  <c r="D86" i="5" s="1"/>
  <c r="D87" i="5"/>
  <c r="D84" i="5"/>
  <c r="D42" i="5"/>
  <c r="D42" i="2"/>
  <c r="D67" i="2"/>
  <c r="D75" i="2" s="1"/>
  <c r="D149" i="2"/>
  <c r="D85" i="4"/>
  <c r="D86" i="4" s="1"/>
  <c r="C43" i="5"/>
  <c r="D149" i="4"/>
  <c r="C86" i="5"/>
  <c r="D82" i="9"/>
  <c r="D41" i="9"/>
  <c r="D87" i="14"/>
  <c r="D84" i="14"/>
  <c r="D42" i="14"/>
  <c r="D41" i="14"/>
  <c r="D82" i="14"/>
  <c r="D149" i="14"/>
  <c r="D85" i="14"/>
  <c r="D83" i="6"/>
  <c r="D86" i="7"/>
  <c r="C43" i="10"/>
  <c r="D82" i="10"/>
  <c r="C86" i="16"/>
  <c r="D84" i="9"/>
  <c r="D82" i="11"/>
  <c r="D149" i="11"/>
  <c r="D85" i="11"/>
  <c r="D86" i="11" s="1"/>
  <c r="D82" i="15"/>
  <c r="D87" i="15"/>
  <c r="D84" i="15"/>
  <c r="D42" i="15"/>
  <c r="D41" i="15"/>
  <c r="D149" i="15"/>
  <c r="D85" i="15"/>
  <c r="D87" i="9"/>
  <c r="D87" i="10"/>
  <c r="D84" i="10"/>
  <c r="D42" i="10"/>
  <c r="D41" i="10"/>
  <c r="D149" i="10"/>
  <c r="D85" i="10"/>
  <c r="D86" i="10" s="1"/>
  <c r="D27" i="1"/>
  <c r="D33" i="1" s="1"/>
  <c r="D82" i="7"/>
  <c r="D41" i="7"/>
  <c r="D43" i="7" s="1"/>
  <c r="D49" i="7" s="1"/>
  <c r="D87" i="7"/>
  <c r="D42" i="9"/>
  <c r="D67" i="9"/>
  <c r="D75" i="9" s="1"/>
  <c r="D149" i="9"/>
  <c r="D41" i="12"/>
  <c r="D149" i="12"/>
  <c r="D85" i="12"/>
  <c r="D86" i="12" s="1"/>
  <c r="D87" i="12"/>
  <c r="D84" i="12"/>
  <c r="D88" i="12" s="1"/>
  <c r="D151" i="12" s="1"/>
  <c r="D42" i="12"/>
  <c r="D43" i="11"/>
  <c r="D73" i="11" s="1"/>
  <c r="D83" i="8"/>
  <c r="D85" i="9"/>
  <c r="D84" i="7"/>
  <c r="C43" i="8"/>
  <c r="D87" i="11"/>
  <c r="D85" i="13"/>
  <c r="D86" i="13" s="1"/>
  <c r="D85" i="6"/>
  <c r="D86" i="6" s="1"/>
  <c r="D149" i="6"/>
  <c r="D85" i="8"/>
  <c r="D86" i="8" s="1"/>
  <c r="D149" i="8"/>
  <c r="D82" i="13"/>
  <c r="D149" i="13"/>
  <c r="D41" i="6"/>
  <c r="D41" i="8"/>
  <c r="C86" i="13"/>
  <c r="D87" i="13"/>
  <c r="C86" i="14"/>
  <c r="D42" i="16"/>
  <c r="D41" i="16"/>
  <c r="D43" i="16" s="1"/>
  <c r="D73" i="16" s="1"/>
  <c r="D82" i="16"/>
  <c r="D149" i="16"/>
  <c r="D85" i="16"/>
  <c r="D86" i="16" s="1"/>
  <c r="D87" i="16"/>
  <c r="D42" i="6"/>
  <c r="D84" i="6"/>
  <c r="D87" i="6"/>
  <c r="D42" i="8"/>
  <c r="D84" i="8"/>
  <c r="D88" i="8" s="1"/>
  <c r="D151" i="8" s="1"/>
  <c r="D87" i="8"/>
  <c r="C86" i="9"/>
  <c r="C86" i="15"/>
  <c r="C5" i="25" l="1"/>
  <c r="C6" i="25" s="1"/>
  <c r="C7" i="25" s="1"/>
  <c r="C8" i="25" s="1"/>
  <c r="C9" i="25" s="1"/>
  <c r="C5" i="26"/>
  <c r="D136" i="24"/>
  <c r="D143" i="24" s="1"/>
  <c r="D155" i="24" s="1"/>
  <c r="D156" i="24" s="1"/>
  <c r="D53" i="16"/>
  <c r="D50" i="16"/>
  <c r="D51" i="16"/>
  <c r="D56" i="16"/>
  <c r="D54" i="16"/>
  <c r="D52" i="16"/>
  <c r="D88" i="6"/>
  <c r="D151" i="6" s="1"/>
  <c r="D43" i="10"/>
  <c r="D53" i="10" s="1"/>
  <c r="D43" i="8"/>
  <c r="D55" i="7"/>
  <c r="D56" i="7"/>
  <c r="D51" i="7"/>
  <c r="E64" i="19"/>
  <c r="G64" i="19" s="1"/>
  <c r="D54" i="11"/>
  <c r="D50" i="10"/>
  <c r="D49" i="11"/>
  <c r="D50" i="11"/>
  <c r="D56" i="11"/>
  <c r="D52" i="11"/>
  <c r="D53" i="11"/>
  <c r="D43" i="15"/>
  <c r="D73" i="15" s="1"/>
  <c r="D43" i="13"/>
  <c r="D73" i="13" s="1"/>
  <c r="D43" i="5"/>
  <c r="D73" i="5" s="1"/>
  <c r="D43" i="3"/>
  <c r="D54" i="3" s="1"/>
  <c r="D55" i="15"/>
  <c r="D52" i="15"/>
  <c r="D49" i="15"/>
  <c r="D54" i="13"/>
  <c r="D49" i="13"/>
  <c r="D53" i="5"/>
  <c r="D52" i="5"/>
  <c r="E65" i="19"/>
  <c r="D83" i="7"/>
  <c r="D88" i="7" s="1"/>
  <c r="D151" i="7" s="1"/>
  <c r="D55" i="16"/>
  <c r="D83" i="13"/>
  <c r="D88" i="13" s="1"/>
  <c r="D73" i="7"/>
  <c r="D52" i="7"/>
  <c r="D53" i="7"/>
  <c r="D51" i="5"/>
  <c r="D83" i="5"/>
  <c r="D88" i="5" s="1"/>
  <c r="D151" i="5" s="1"/>
  <c r="D83" i="2"/>
  <c r="D88" i="2" s="1"/>
  <c r="D151" i="2" s="1"/>
  <c r="D43" i="4"/>
  <c r="D51" i="8"/>
  <c r="D49" i="8"/>
  <c r="D86" i="9"/>
  <c r="D50" i="7"/>
  <c r="D149" i="1"/>
  <c r="D85" i="1"/>
  <c r="D86" i="1" s="1"/>
  <c r="D42" i="1"/>
  <c r="D87" i="1"/>
  <c r="D84" i="1"/>
  <c r="D82" i="1"/>
  <c r="D41" i="1"/>
  <c r="D52" i="10"/>
  <c r="D55" i="11"/>
  <c r="D83" i="10"/>
  <c r="D88" i="10" s="1"/>
  <c r="D151" i="10" s="1"/>
  <c r="D86" i="14"/>
  <c r="D83" i="9"/>
  <c r="D88" i="9" s="1"/>
  <c r="D151" i="9" s="1"/>
  <c r="D83" i="14"/>
  <c r="D88" i="14" s="1"/>
  <c r="D151" i="14" s="1"/>
  <c r="D43" i="9"/>
  <c r="D43" i="6"/>
  <c r="D53" i="8"/>
  <c r="D86" i="15"/>
  <c r="D83" i="15"/>
  <c r="D50" i="5"/>
  <c r="D43" i="2"/>
  <c r="D83" i="4"/>
  <c r="D88" i="4" s="1"/>
  <c r="D151" i="4" s="1"/>
  <c r="D88" i="16"/>
  <c r="D151" i="16" s="1"/>
  <c r="D83" i="16"/>
  <c r="D88" i="11"/>
  <c r="D151" i="11" s="1"/>
  <c r="D83" i="11"/>
  <c r="D49" i="5"/>
  <c r="D56" i="5"/>
  <c r="D49" i="16"/>
  <c r="D57" i="16" s="1"/>
  <c r="D74" i="16" s="1"/>
  <c r="D76" i="16" s="1"/>
  <c r="D43" i="12"/>
  <c r="D49" i="10"/>
  <c r="D54" i="7"/>
  <c r="D53" i="15"/>
  <c r="D51" i="11"/>
  <c r="D43" i="14"/>
  <c r="D83" i="3"/>
  <c r="D88" i="3"/>
  <c r="D151" i="3" s="1"/>
  <c r="D57" i="7" l="1"/>
  <c r="D74" i="7" s="1"/>
  <c r="D76" i="7" s="1"/>
  <c r="C11" i="25"/>
  <c r="C17" i="25" s="1"/>
  <c r="C10" i="25"/>
  <c r="C16" i="25" s="1"/>
  <c r="C12" i="25"/>
  <c r="C18" i="25" s="1"/>
  <c r="C6" i="26"/>
  <c r="C7" i="26" s="1"/>
  <c r="C8" i="26" s="1"/>
  <c r="C9" i="26" s="1"/>
  <c r="C29" i="19"/>
  <c r="E29" i="19" s="1"/>
  <c r="G29" i="19" s="1"/>
  <c r="H29" i="19" s="1"/>
  <c r="D140" i="24"/>
  <c r="D139" i="24"/>
  <c r="D138" i="24"/>
  <c r="D137" i="24"/>
  <c r="D141" i="24"/>
  <c r="D142" i="24"/>
  <c r="D56" i="15"/>
  <c r="D54" i="8"/>
  <c r="D56" i="8"/>
  <c r="D73" i="10"/>
  <c r="D51" i="10"/>
  <c r="D57" i="10" s="1"/>
  <c r="D74" i="10" s="1"/>
  <c r="D76" i="10" s="1"/>
  <c r="D55" i="10"/>
  <c r="D56" i="10"/>
  <c r="D51" i="15"/>
  <c r="D57" i="11"/>
  <c r="D74" i="11" s="1"/>
  <c r="D76" i="11" s="1"/>
  <c r="D109" i="11" s="1"/>
  <c r="D110" i="11" s="1"/>
  <c r="D117" i="11" s="1"/>
  <c r="D55" i="8"/>
  <c r="D55" i="5"/>
  <c r="D54" i="10"/>
  <c r="D52" i="8"/>
  <c r="D50" i="8"/>
  <c r="D57" i="8" s="1"/>
  <c r="D74" i="8" s="1"/>
  <c r="D76" i="8" s="1"/>
  <c r="D73" i="8"/>
  <c r="D55" i="13"/>
  <c r="D54" i="15"/>
  <c r="D53" i="13"/>
  <c r="D50" i="13"/>
  <c r="D52" i="13"/>
  <c r="D51" i="13"/>
  <c r="D56" i="13"/>
  <c r="D50" i="15"/>
  <c r="D57" i="15" s="1"/>
  <c r="D74" i="15" s="1"/>
  <c r="D76" i="15" s="1"/>
  <c r="D88" i="15"/>
  <c r="D151" i="15" s="1"/>
  <c r="D54" i="5"/>
  <c r="D56" i="3"/>
  <c r="D73" i="3"/>
  <c r="D55" i="3"/>
  <c r="D51" i="3"/>
  <c r="D50" i="3"/>
  <c r="D53" i="3"/>
  <c r="D52" i="3"/>
  <c r="D49" i="3"/>
  <c r="G65" i="19"/>
  <c r="D150" i="11"/>
  <c r="D97" i="11"/>
  <c r="D101" i="11"/>
  <c r="D98" i="11"/>
  <c r="D150" i="16"/>
  <c r="D101" i="16"/>
  <c r="D109" i="16"/>
  <c r="D110" i="16" s="1"/>
  <c r="D117" i="16" s="1"/>
  <c r="D100" i="16"/>
  <c r="D98" i="16"/>
  <c r="D99" i="16"/>
  <c r="D97" i="16"/>
  <c r="D102" i="16"/>
  <c r="D151" i="13"/>
  <c r="D73" i="4"/>
  <c r="D54" i="4"/>
  <c r="D53" i="4"/>
  <c r="D51" i="4"/>
  <c r="D56" i="4"/>
  <c r="D55" i="4"/>
  <c r="D50" i="4"/>
  <c r="D49" i="4"/>
  <c r="D52" i="4"/>
  <c r="D57" i="5"/>
  <c r="D74" i="5" s="1"/>
  <c r="D76" i="5" s="1"/>
  <c r="D73" i="12"/>
  <c r="D53" i="12"/>
  <c r="D49" i="12"/>
  <c r="D51" i="12"/>
  <c r="D55" i="12"/>
  <c r="D52" i="12"/>
  <c r="D56" i="12"/>
  <c r="D54" i="12"/>
  <c r="D50" i="12"/>
  <c r="D73" i="2"/>
  <c r="D56" i="2"/>
  <c r="D55" i="2"/>
  <c r="D50" i="2"/>
  <c r="D49" i="2"/>
  <c r="D54" i="2"/>
  <c r="D52" i="2"/>
  <c r="D53" i="2"/>
  <c r="D51" i="2"/>
  <c r="D73" i="9"/>
  <c r="D49" i="9"/>
  <c r="D51" i="9"/>
  <c r="D52" i="9"/>
  <c r="D53" i="9"/>
  <c r="D50" i="9"/>
  <c r="D55" i="9"/>
  <c r="D54" i="9"/>
  <c r="D56" i="9"/>
  <c r="D83" i="1"/>
  <c r="D88" i="1" s="1"/>
  <c r="D151" i="1" s="1"/>
  <c r="D73" i="14"/>
  <c r="D51" i="14"/>
  <c r="D52" i="14"/>
  <c r="D56" i="14"/>
  <c r="D55" i="14"/>
  <c r="D53" i="14"/>
  <c r="D54" i="14"/>
  <c r="D50" i="14"/>
  <c r="D49" i="14"/>
  <c r="D73" i="6"/>
  <c r="D51" i="6"/>
  <c r="D49" i="6"/>
  <c r="D55" i="6"/>
  <c r="D52" i="6"/>
  <c r="D50" i="6"/>
  <c r="D56" i="6"/>
  <c r="D53" i="6"/>
  <c r="D54" i="6"/>
  <c r="D43" i="1"/>
  <c r="C11" i="26" l="1"/>
  <c r="C17" i="26" s="1"/>
  <c r="C12" i="26"/>
  <c r="C18" i="26" s="1"/>
  <c r="C10" i="26"/>
  <c r="C16" i="26" s="1"/>
  <c r="C19" i="26" s="1"/>
  <c r="C21" i="26" s="1"/>
  <c r="A45" i="26" s="1"/>
  <c r="A51" i="26" s="1"/>
  <c r="E63" i="19" s="1"/>
  <c r="C19" i="25"/>
  <c r="C21" i="25" s="1"/>
  <c r="A45" i="25" s="1"/>
  <c r="A51" i="25" s="1"/>
  <c r="F63" i="19" s="1"/>
  <c r="D102" i="15"/>
  <c r="D109" i="15"/>
  <c r="D110" i="15" s="1"/>
  <c r="D117" i="15" s="1"/>
  <c r="D102" i="11"/>
  <c r="D57" i="13"/>
  <c r="D74" i="13" s="1"/>
  <c r="D76" i="13" s="1"/>
  <c r="D150" i="13" s="1"/>
  <c r="D57" i="6"/>
  <c r="D74" i="6" s="1"/>
  <c r="D99" i="11"/>
  <c r="D103" i="11" s="1"/>
  <c r="D116" i="11" s="1"/>
  <c r="D118" i="11" s="1"/>
  <c r="D152" i="11" s="1"/>
  <c r="D154" i="11" s="1"/>
  <c r="D100" i="11"/>
  <c r="D57" i="3"/>
  <c r="D74" i="3" s="1"/>
  <c r="D76" i="3" s="1"/>
  <c r="D100" i="15"/>
  <c r="D101" i="15"/>
  <c r="D97" i="15"/>
  <c r="D150" i="15"/>
  <c r="D99" i="15"/>
  <c r="D98" i="15"/>
  <c r="D57" i="14"/>
  <c r="D74" i="14" s="1"/>
  <c r="D76" i="14" s="1"/>
  <c r="D73" i="1"/>
  <c r="D52" i="1"/>
  <c r="D56" i="1"/>
  <c r="D53" i="1"/>
  <c r="D54" i="1"/>
  <c r="D55" i="1"/>
  <c r="D51" i="1"/>
  <c r="D50" i="1"/>
  <c r="D49" i="1"/>
  <c r="D103" i="16"/>
  <c r="D116" i="16" s="1"/>
  <c r="D118" i="16" s="1"/>
  <c r="D152" i="16" s="1"/>
  <c r="D154" i="16" s="1"/>
  <c r="D150" i="3"/>
  <c r="D99" i="3"/>
  <c r="D98" i="3"/>
  <c r="D102" i="3"/>
  <c r="D97" i="3"/>
  <c r="D109" i="3"/>
  <c r="D110" i="3" s="1"/>
  <c r="D117" i="3" s="1"/>
  <c r="D101" i="3"/>
  <c r="D100" i="3"/>
  <c r="D76" i="6"/>
  <c r="D57" i="9"/>
  <c r="D74" i="9" s="1"/>
  <c r="D76" i="9" s="1"/>
  <c r="D57" i="12"/>
  <c r="D74" i="12" s="1"/>
  <c r="D76" i="12" s="1"/>
  <c r="D101" i="8"/>
  <c r="D97" i="8"/>
  <c r="D100" i="8"/>
  <c r="D98" i="8"/>
  <c r="D150" i="8"/>
  <c r="D102" i="8"/>
  <c r="D109" i="8"/>
  <c r="D110" i="8" s="1"/>
  <c r="D117" i="8" s="1"/>
  <c r="D99" i="8"/>
  <c r="D150" i="10"/>
  <c r="D98" i="10"/>
  <c r="D102" i="10"/>
  <c r="D101" i="10"/>
  <c r="D100" i="10"/>
  <c r="D109" i="10"/>
  <c r="D110" i="10" s="1"/>
  <c r="D117" i="10" s="1"/>
  <c r="D97" i="10"/>
  <c r="D99" i="10"/>
  <c r="D150" i="7"/>
  <c r="D109" i="7"/>
  <c r="D110" i="7" s="1"/>
  <c r="D117" i="7" s="1"/>
  <c r="D97" i="7"/>
  <c r="D101" i="7"/>
  <c r="D98" i="7"/>
  <c r="D102" i="7"/>
  <c r="D99" i="7"/>
  <c r="D100" i="7"/>
  <c r="D57" i="2"/>
  <c r="D74" i="2" s="1"/>
  <c r="D76" i="2" s="1"/>
  <c r="D150" i="5"/>
  <c r="D102" i="5"/>
  <c r="D98" i="5"/>
  <c r="D100" i="5"/>
  <c r="D99" i="5"/>
  <c r="D97" i="5"/>
  <c r="D109" i="5"/>
  <c r="D110" i="5" s="1"/>
  <c r="D117" i="5" s="1"/>
  <c r="D101" i="5"/>
  <c r="D57" i="4"/>
  <c r="D74" i="4" s="1"/>
  <c r="D76" i="4" s="1"/>
  <c r="D97" i="13" l="1"/>
  <c r="D102" i="13"/>
  <c r="D98" i="13"/>
  <c r="D99" i="13"/>
  <c r="D100" i="13"/>
  <c r="D109" i="13"/>
  <c r="D110" i="13" s="1"/>
  <c r="D117" i="13" s="1"/>
  <c r="D101" i="13"/>
  <c r="D103" i="15"/>
  <c r="D116" i="15" s="1"/>
  <c r="D118" i="15" s="1"/>
  <c r="D152" i="15" s="1"/>
  <c r="D154" i="15" s="1"/>
  <c r="D134" i="15" s="1"/>
  <c r="D135" i="15" s="1"/>
  <c r="D150" i="4"/>
  <c r="D101" i="4"/>
  <c r="D100" i="4"/>
  <c r="D102" i="4"/>
  <c r="D98" i="4"/>
  <c r="D97" i="4"/>
  <c r="D109" i="4"/>
  <c r="D110" i="4" s="1"/>
  <c r="D117" i="4" s="1"/>
  <c r="D99" i="4"/>
  <c r="D150" i="14"/>
  <c r="D101" i="14"/>
  <c r="D100" i="14"/>
  <c r="D97" i="14"/>
  <c r="D99" i="14"/>
  <c r="D109" i="14"/>
  <c r="D110" i="14" s="1"/>
  <c r="D117" i="14" s="1"/>
  <c r="D102" i="14"/>
  <c r="D98" i="14"/>
  <c r="D150" i="2"/>
  <c r="D99" i="2"/>
  <c r="D109" i="2"/>
  <c r="D110" i="2" s="1"/>
  <c r="D117" i="2" s="1"/>
  <c r="D101" i="2"/>
  <c r="D100" i="2"/>
  <c r="D102" i="2"/>
  <c r="D98" i="2"/>
  <c r="D97" i="2"/>
  <c r="D100" i="12"/>
  <c r="D150" i="12"/>
  <c r="D99" i="12"/>
  <c r="D109" i="12"/>
  <c r="D110" i="12" s="1"/>
  <c r="D117" i="12" s="1"/>
  <c r="D101" i="12"/>
  <c r="D102" i="12"/>
  <c r="D98" i="12"/>
  <c r="D97" i="12"/>
  <c r="D150" i="9"/>
  <c r="D109" i="9"/>
  <c r="D110" i="9" s="1"/>
  <c r="D117" i="9" s="1"/>
  <c r="D99" i="9"/>
  <c r="D100" i="9"/>
  <c r="D101" i="9"/>
  <c r="D102" i="9"/>
  <c r="D97" i="9"/>
  <c r="D98" i="9"/>
  <c r="D103" i="8"/>
  <c r="D116" i="8" s="1"/>
  <c r="D118" i="8" s="1"/>
  <c r="D152" i="8" s="1"/>
  <c r="D154" i="8" s="1"/>
  <c r="D134" i="11"/>
  <c r="D57" i="1"/>
  <c r="D74" i="1" s="1"/>
  <c r="D76" i="1" s="1"/>
  <c r="D103" i="5"/>
  <c r="D116" i="5" s="1"/>
  <c r="D118" i="5" s="1"/>
  <c r="D152" i="5" s="1"/>
  <c r="D154" i="5" s="1"/>
  <c r="D103" i="7"/>
  <c r="D116" i="7" s="1"/>
  <c r="D118" i="7" s="1"/>
  <c r="D152" i="7" s="1"/>
  <c r="D154" i="7" s="1"/>
  <c r="D103" i="3"/>
  <c r="D116" i="3" s="1"/>
  <c r="D118" i="3" s="1"/>
  <c r="D152" i="3" s="1"/>
  <c r="D154" i="3" s="1"/>
  <c r="D150" i="6"/>
  <c r="D98" i="6"/>
  <c r="D101" i="6"/>
  <c r="D100" i="6"/>
  <c r="D97" i="6"/>
  <c r="D99" i="6"/>
  <c r="D102" i="6"/>
  <c r="D109" i="6"/>
  <c r="D110" i="6" s="1"/>
  <c r="D117" i="6" s="1"/>
  <c r="D134" i="16"/>
  <c r="D135" i="16" s="1"/>
  <c r="D136" i="16" s="1"/>
  <c r="D103" i="10"/>
  <c r="D116" i="10" s="1"/>
  <c r="D118" i="10" s="1"/>
  <c r="D152" i="10" s="1"/>
  <c r="D154" i="10" s="1"/>
  <c r="D103" i="13" l="1"/>
  <c r="D116" i="13" s="1"/>
  <c r="D118" i="13" s="1"/>
  <c r="D152" i="13" s="1"/>
  <c r="D154" i="13" s="1"/>
  <c r="D134" i="13" s="1"/>
  <c r="D103" i="14"/>
  <c r="D116" i="14" s="1"/>
  <c r="D118" i="14" s="1"/>
  <c r="D152" i="14" s="1"/>
  <c r="D154" i="14" s="1"/>
  <c r="D103" i="2"/>
  <c r="D116" i="2" s="1"/>
  <c r="D118" i="2" s="1"/>
  <c r="D152" i="2" s="1"/>
  <c r="D154" i="2" s="1"/>
  <c r="D134" i="5"/>
  <c r="D134" i="3"/>
  <c r="D135" i="3" s="1"/>
  <c r="D136" i="3" s="1"/>
  <c r="D134" i="10"/>
  <c r="D103" i="12"/>
  <c r="D116" i="12" s="1"/>
  <c r="D118" i="12" s="1"/>
  <c r="D152" i="12" s="1"/>
  <c r="D154" i="12" s="1"/>
  <c r="D103" i="4"/>
  <c r="D116" i="4" s="1"/>
  <c r="D118" i="4" s="1"/>
  <c r="D152" i="4" s="1"/>
  <c r="D154" i="4" s="1"/>
  <c r="D136" i="15"/>
  <c r="D143" i="15" s="1"/>
  <c r="D155" i="15" s="1"/>
  <c r="D156" i="15" s="1"/>
  <c r="D134" i="7"/>
  <c r="D135" i="7" s="1"/>
  <c r="D103" i="6"/>
  <c r="D116" i="6" s="1"/>
  <c r="D118" i="6" s="1"/>
  <c r="D152" i="6" s="1"/>
  <c r="D154" i="6" s="1"/>
  <c r="D134" i="8"/>
  <c r="D135" i="8" s="1"/>
  <c r="D136" i="8" s="1"/>
  <c r="D150" i="1"/>
  <c r="D109" i="1"/>
  <c r="D110" i="1" s="1"/>
  <c r="D117" i="1" s="1"/>
  <c r="D97" i="1"/>
  <c r="D102" i="1"/>
  <c r="D100" i="1"/>
  <c r="D99" i="1"/>
  <c r="D101" i="1"/>
  <c r="D98" i="1"/>
  <c r="D143" i="16"/>
  <c r="D155" i="16" s="1"/>
  <c r="D156" i="16" s="1"/>
  <c r="D135" i="11"/>
  <c r="D136" i="11" s="1"/>
  <c r="D143" i="11" s="1"/>
  <c r="D155" i="11" s="1"/>
  <c r="D156" i="11" s="1"/>
  <c r="D103" i="9"/>
  <c r="D116" i="9" s="1"/>
  <c r="D118" i="9" s="1"/>
  <c r="D152" i="9" s="1"/>
  <c r="D154" i="9" s="1"/>
  <c r="D135" i="13" l="1"/>
  <c r="D136" i="13" s="1"/>
  <c r="D143" i="13" s="1"/>
  <c r="D155" i="13" s="1"/>
  <c r="D156" i="13" s="1"/>
  <c r="D141" i="13" s="1"/>
  <c r="D135" i="10"/>
  <c r="D136" i="10" s="1"/>
  <c r="D143" i="10" s="1"/>
  <c r="D155" i="10" s="1"/>
  <c r="D156" i="10" s="1"/>
  <c r="D136" i="7"/>
  <c r="D143" i="7" s="1"/>
  <c r="D155" i="7" s="1"/>
  <c r="D156" i="7" s="1"/>
  <c r="D140" i="13"/>
  <c r="D138" i="13"/>
  <c r="C26" i="19"/>
  <c r="E26" i="19" s="1"/>
  <c r="G26" i="19" s="1"/>
  <c r="H26" i="19" s="1"/>
  <c r="D142" i="13"/>
  <c r="D139" i="13"/>
  <c r="D137" i="13"/>
  <c r="D134" i="6"/>
  <c r="D135" i="6" s="1"/>
  <c r="D134" i="9"/>
  <c r="C24" i="19"/>
  <c r="E24" i="19" s="1"/>
  <c r="G24" i="19" s="1"/>
  <c r="H24" i="19" s="1"/>
  <c r="D138" i="11"/>
  <c r="D142" i="11"/>
  <c r="D140" i="11"/>
  <c r="D139" i="11"/>
  <c r="D141" i="11"/>
  <c r="D137" i="11"/>
  <c r="D134" i="12"/>
  <c r="D134" i="4"/>
  <c r="C28" i="19"/>
  <c r="E28" i="19" s="1"/>
  <c r="G28" i="19" s="1"/>
  <c r="H28" i="19" s="1"/>
  <c r="D138" i="16"/>
  <c r="D142" i="16"/>
  <c r="D141" i="16"/>
  <c r="D140" i="16"/>
  <c r="D139" i="16"/>
  <c r="D137" i="16"/>
  <c r="D103" i="1"/>
  <c r="D116" i="1" s="1"/>
  <c r="D118" i="1" s="1"/>
  <c r="D152" i="1" s="1"/>
  <c r="D154" i="1" s="1"/>
  <c r="D143" i="8"/>
  <c r="D155" i="8" s="1"/>
  <c r="D156" i="8" s="1"/>
  <c r="D140" i="15"/>
  <c r="D138" i="15"/>
  <c r="C27" i="19"/>
  <c r="E27" i="19" s="1"/>
  <c r="G27" i="19" s="1"/>
  <c r="D137" i="15"/>
  <c r="D142" i="15"/>
  <c r="D141" i="15"/>
  <c r="D139" i="15"/>
  <c r="D135" i="5"/>
  <c r="D136" i="5" s="1"/>
  <c r="D143" i="5" s="1"/>
  <c r="D155" i="5" s="1"/>
  <c r="D156" i="5" s="1"/>
  <c r="D143" i="3"/>
  <c r="D155" i="3" s="1"/>
  <c r="D156" i="3" s="1"/>
  <c r="D134" i="14"/>
  <c r="D134" i="2"/>
  <c r="H27" i="19" l="1"/>
  <c r="D136" i="6"/>
  <c r="D143" i="6" s="1"/>
  <c r="D155" i="6" s="1"/>
  <c r="D156" i="6" s="1"/>
  <c r="D135" i="2"/>
  <c r="D136" i="2" s="1"/>
  <c r="D143" i="2" s="1"/>
  <c r="D155" i="2" s="1"/>
  <c r="D156" i="2" s="1"/>
  <c r="G63" i="19"/>
  <c r="C18" i="19"/>
  <c r="E18" i="19" s="1"/>
  <c r="G18" i="19" s="1"/>
  <c r="H18" i="19" s="1"/>
  <c r="D140" i="5"/>
  <c r="D138" i="5"/>
  <c r="D141" i="5"/>
  <c r="D137" i="5"/>
  <c r="D139" i="5"/>
  <c r="D142" i="5"/>
  <c r="C16" i="19"/>
  <c r="E16" i="19" s="1"/>
  <c r="G16" i="19" s="1"/>
  <c r="H16" i="19" s="1"/>
  <c r="D141" i="3"/>
  <c r="D140" i="3"/>
  <c r="D139" i="3"/>
  <c r="D138" i="3"/>
  <c r="D137" i="3"/>
  <c r="D142" i="3"/>
  <c r="D134" i="1"/>
  <c r="D135" i="1" s="1"/>
  <c r="D136" i="1" s="1"/>
  <c r="C21" i="19"/>
  <c r="E21" i="19" s="1"/>
  <c r="G21" i="19" s="1"/>
  <c r="H21" i="19" s="1"/>
  <c r="D137" i="8"/>
  <c r="D141" i="8"/>
  <c r="D139" i="8"/>
  <c r="D138" i="8"/>
  <c r="D140" i="8"/>
  <c r="D142" i="8"/>
  <c r="D135" i="4"/>
  <c r="D136" i="4" s="1"/>
  <c r="C20" i="19"/>
  <c r="E20" i="19" s="1"/>
  <c r="G20" i="19" s="1"/>
  <c r="H20" i="19" s="1"/>
  <c r="D140" i="7"/>
  <c r="D138" i="7"/>
  <c r="D142" i="7"/>
  <c r="D141" i="7"/>
  <c r="D139" i="7"/>
  <c r="D137" i="7"/>
  <c r="D135" i="12"/>
  <c r="D136" i="12" s="1"/>
  <c r="D135" i="14"/>
  <c r="D136" i="14" s="1"/>
  <c r="C23" i="19"/>
  <c r="E23" i="19" s="1"/>
  <c r="G23" i="19" s="1"/>
  <c r="H23" i="19" s="1"/>
  <c r="D137" i="10"/>
  <c r="D141" i="10"/>
  <c r="D139" i="10"/>
  <c r="D138" i="10"/>
  <c r="D142" i="10"/>
  <c r="D140" i="10"/>
  <c r="D135" i="9"/>
  <c r="D136" i="9" l="1"/>
  <c r="D143" i="9" s="1"/>
  <c r="D155" i="9" s="1"/>
  <c r="D156" i="9" s="1"/>
  <c r="C15" i="19"/>
  <c r="E15" i="19" s="1"/>
  <c r="G15" i="19" s="1"/>
  <c r="H15" i="19" s="1"/>
  <c r="D138" i="2"/>
  <c r="D142" i="2"/>
  <c r="D141" i="2"/>
  <c r="D140" i="2"/>
  <c r="D139" i="2"/>
  <c r="D137" i="2"/>
  <c r="D143" i="14"/>
  <c r="D155" i="14" s="1"/>
  <c r="D156" i="14" s="1"/>
  <c r="D143" i="12"/>
  <c r="D155" i="12" s="1"/>
  <c r="D156" i="12" s="1"/>
  <c r="D143" i="1"/>
  <c r="D155" i="1" s="1"/>
  <c r="D156" i="1" s="1"/>
  <c r="D143" i="4"/>
  <c r="D155" i="4" s="1"/>
  <c r="D156" i="4" s="1"/>
  <c r="C19" i="19"/>
  <c r="E19" i="19" s="1"/>
  <c r="G19" i="19" s="1"/>
  <c r="H19" i="19" s="1"/>
  <c r="D137" i="6"/>
  <c r="D141" i="6"/>
  <c r="D139" i="6"/>
  <c r="D138" i="6"/>
  <c r="D142" i="6"/>
  <c r="D140" i="6"/>
  <c r="C22" i="19" l="1"/>
  <c r="E22" i="19" s="1"/>
  <c r="G22" i="19" s="1"/>
  <c r="H22" i="19" s="1"/>
  <c r="D140" i="9"/>
  <c r="D138" i="9"/>
  <c r="D142" i="9"/>
  <c r="D141" i="9"/>
  <c r="D137" i="9"/>
  <c r="D139" i="9"/>
  <c r="C14" i="19"/>
  <c r="E14" i="19" s="1"/>
  <c r="G14" i="19" s="1"/>
  <c r="D141" i="1"/>
  <c r="D139" i="1"/>
  <c r="D138" i="1"/>
  <c r="D137" i="1"/>
  <c r="D142" i="1"/>
  <c r="D140" i="1"/>
  <c r="C25" i="19"/>
  <c r="E25" i="19" s="1"/>
  <c r="G25" i="19" s="1"/>
  <c r="H25" i="19" s="1"/>
  <c r="D141" i="12"/>
  <c r="D139" i="12"/>
  <c r="D137" i="12"/>
  <c r="D142" i="12"/>
  <c r="D138" i="12"/>
  <c r="D140" i="12"/>
  <c r="C30" i="19"/>
  <c r="E30" i="19" s="1"/>
  <c r="G30" i="19" s="1"/>
  <c r="D137" i="14"/>
  <c r="D141" i="14"/>
  <c r="D140" i="14"/>
  <c r="D139" i="14"/>
  <c r="D138" i="14"/>
  <c r="D142" i="14"/>
  <c r="C17" i="19"/>
  <c r="E17" i="19" s="1"/>
  <c r="G17" i="19" s="1"/>
  <c r="H17" i="19" s="1"/>
  <c r="D138" i="4"/>
  <c r="D137" i="4"/>
  <c r="D142" i="4"/>
  <c r="D141" i="4"/>
  <c r="D140" i="4"/>
  <c r="D139" i="4"/>
  <c r="H30" i="19" l="1"/>
  <c r="G31" i="19"/>
  <c r="H14" i="19"/>
  <c r="H31" i="19" l="1"/>
  <c r="F62" i="19" s="1"/>
  <c r="F56" i="19"/>
  <c r="G56" i="19" s="1"/>
  <c r="E67" i="19" s="1"/>
  <c r="E62" i="19" l="1"/>
  <c r="G62" i="19" s="1"/>
  <c r="F68" i="19"/>
  <c r="G67" i="19"/>
  <c r="E68" i="19" l="1"/>
  <c r="G68" i="19"/>
</calcChain>
</file>

<file path=xl/sharedStrings.xml><?xml version="1.0" encoding="utf-8"?>
<sst xmlns="http://schemas.openxmlformats.org/spreadsheetml/2006/main" count="3573" uniqueCount="230">
  <si>
    <t>PLANILHA DE CUSTOS E FORMAÇÃO DE PREÇOS</t>
  </si>
  <si>
    <t>Discriminação dos Serviços</t>
  </si>
  <si>
    <t>A</t>
  </si>
  <si>
    <t>Data de apresentação da proposta</t>
  </si>
  <si>
    <t>B</t>
  </si>
  <si>
    <t>Município</t>
  </si>
  <si>
    <t>C</t>
  </si>
  <si>
    <t>Ano do Acordo, Convenção ou Dissídio Coletivo</t>
  </si>
  <si>
    <t>D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</si>
  <si>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</si>
  <si>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</si>
  <si>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</si>
  <si>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</si>
  <si>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</si>
  <si>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Engenheiro Eletricista (Supervisor)</t>
  </si>
  <si>
    <t>posto de serviço</t>
  </si>
  <si>
    <t>Dados complementares para composição dos custos referente à mão-de-obra</t>
  </si>
  <si>
    <t>Tipo de serviço (mesmo serviço com características distintas)</t>
  </si>
  <si>
    <t>Engenheiro Eletricista 44 horas semanais</t>
  </si>
  <si>
    <t>Classificação Brasileira de Ocupações (CBO)</t>
  </si>
  <si>
    <t>2143-05</t>
  </si>
  <si>
    <t>Salário Normativo da Categoria Profissional</t>
  </si>
  <si>
    <t>Categoria profissional (vinculada à execução contratual)</t>
  </si>
  <si>
    <t>Data base da categoria (dia/mês/ano)</t>
  </si>
  <si>
    <t>Módulo 1 - Composição da Remuneração</t>
  </si>
  <si>
    <t>Composição da Remuneração</t>
  </si>
  <si>
    <t>Valor (R$)</t>
  </si>
  <si>
    <t>Salário-Base</t>
  </si>
  <si>
    <t>Adicional de Periculosidade</t>
  </si>
  <si>
    <t>Adicional de Insalubridade</t>
  </si>
  <si>
    <t>Adicional Noturno</t>
  </si>
  <si>
    <t>E</t>
  </si>
  <si>
    <t>Adicional de Hora Noturna Reduzida</t>
  </si>
  <si>
    <t>G</t>
  </si>
  <si>
    <t>Outros (especificar)</t>
  </si>
  <si>
    <t>Total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</si>
  <si>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</si>
  <si>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</si>
  <si>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</si>
  <si>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</si>
  <si>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</si>
  <si>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</si>
  <si>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</si>
  <si>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</si>
  <si>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</si>
  <si>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</si>
  <si>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</si>
  <si>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</si>
  <si>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</si>
  <si>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</si>
  <si>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</si>
  <si>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F</t>
  </si>
  <si>
    <t>SEBRAE</t>
  </si>
  <si>
    <t>INCRA</t>
  </si>
  <si>
    <t>H</t>
  </si>
  <si>
    <t>FGTS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</si>
  <si>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</si>
  <si>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</si>
  <si>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</si>
  <si>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</si>
  <si>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</si>
  <si>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</si>
  <si>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Benefício xxx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</si>
  <si>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</si>
  <si>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</si>
  <si>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</si>
  <si>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</si>
  <si>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</si>
  <si>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</si>
  <si>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</si>
  <si>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</si>
  <si>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de GPS, FGTS e outras contribuições sobre o Aviso Prévio Trabalhado</t>
  </si>
  <si>
    <t>Multa do FGTS e contribuição social sobre o Aviso Prévio Trabalhado</t>
  </si>
  <si>
    <t>Módulo 4 - Custo de Reposição do Profissional Ausente</t>
  </si>
  <si>
    <t>Submódulo 4.1 - Substituto nas Ausências Legais</t>
  </si>
  <si>
    <t>4.1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</si>
  <si>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</si>
  <si>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</si>
  <si>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</si>
  <si>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</si>
  <si>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</si>
  <si>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</si>
  <si>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</si>
  <si>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Submódulo 4.2 - Substituto na Intrajornada</t>
  </si>
  <si>
    <t>4.2</t>
  </si>
  <si>
    <t>Substituto na Intrajornada</t>
  </si>
  <si>
    <t>Substituto na cobertura de Intervalo para repouso e alimentação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</si>
  <si>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</si>
  <si>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</si>
  <si>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</si>
  <si>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</si>
  <si>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</si>
  <si>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</si>
  <si>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</si>
  <si>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</si>
  <si>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</si>
  <si>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</si>
  <si>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</si>
  <si>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Tributos</t>
  </si>
  <si>
    <t>C.1. Tributos Federais (especificar)</t>
  </si>
  <si>
    <t>C.1.A. PIS</t>
  </si>
  <si>
    <t>C.1.B. COFINS</t>
  </si>
  <si>
    <t>C.2. Tributos Estaduais (especificar)</t>
  </si>
  <si>
    <t>C.3. Tributos Municipais (especificar)</t>
  </si>
  <si>
    <t>C.3.A. ISS</t>
  </si>
  <si>
    <t>2. QUADRO-RESUMO DO CUSTO POR EMPREGADO</t>
  </si>
  <si>
    <t>Mão de obra vinculada à execução contratual (valor por empregado)</t>
  </si>
  <si>
    <t>Subtotal (A + B +C+ D + E)</t>
  </si>
  <si>
    <t>Módulo 6 – Custos Indiretos, Tributos e Lucro</t>
  </si>
  <si>
    <t xml:space="preserve">Valor Total por Empregado </t>
  </si>
  <si>
    <t>Encarregado - Refrigeração</t>
  </si>
  <si>
    <t>Encarregado 44 horas semanais</t>
  </si>
  <si>
    <t>7102-05</t>
  </si>
  <si>
    <t xml:space="preserve">Encarregado - Elétrica </t>
  </si>
  <si>
    <t>Encarregado - Civil</t>
  </si>
  <si>
    <t>Auxiliar Técnico 44 horas semanais</t>
  </si>
  <si>
    <t>3131-05</t>
  </si>
  <si>
    <t>Técnico em Eletromecânica</t>
  </si>
  <si>
    <t>Técnico Eletromecânica 44 horas semanais</t>
  </si>
  <si>
    <t>3003-05</t>
  </si>
  <si>
    <t>Bombeiro Civil</t>
  </si>
  <si>
    <t>Bombeiro Civil 12x36</t>
  </si>
  <si>
    <t>5171-10</t>
  </si>
  <si>
    <t>Auxílio Plano de Assistência e Cuidado Pessoal</t>
  </si>
  <si>
    <t>Técnico em Refrigeração</t>
  </si>
  <si>
    <t>Técnico em Refrigeração 44 horas semanais</t>
  </si>
  <si>
    <t>7257-05</t>
  </si>
  <si>
    <t>7156-15</t>
  </si>
  <si>
    <t>Ajudante 44 horas semanais</t>
  </si>
  <si>
    <t>5143-10</t>
  </si>
  <si>
    <t xml:space="preserve">Auxiliar Técnico – Civil (pequenas obras e adequações prediais) </t>
  </si>
  <si>
    <t>3121-05</t>
  </si>
  <si>
    <t>Pintor Industrial 44 horas semanais</t>
  </si>
  <si>
    <t>7233-15</t>
  </si>
  <si>
    <t>Auxiliar Técnico – Telhadista</t>
  </si>
  <si>
    <t>7155-45</t>
  </si>
  <si>
    <t xml:space="preserve">Técnico de Segurança no Trabalho Pleno </t>
  </si>
  <si>
    <t>Técnico Segurança Trabalho 44 horas semanais</t>
  </si>
  <si>
    <t>3516-05</t>
  </si>
  <si>
    <t>posto</t>
  </si>
  <si>
    <t>remuneração</t>
  </si>
  <si>
    <t>encargos</t>
  </si>
  <si>
    <t>subtotal</t>
  </si>
  <si>
    <t>v.u. hora normal</t>
  </si>
  <si>
    <t>v.u. hora extra seg-sex</t>
  </si>
  <si>
    <t>v.u. hora extra sab</t>
  </si>
  <si>
    <t>v.u. hora extra dom-fer</t>
  </si>
  <si>
    <t>HE seg-sex</t>
  </si>
  <si>
    <t>HE sáb</t>
  </si>
  <si>
    <t>HE dom-fer</t>
  </si>
  <si>
    <t>total p/ posto</t>
  </si>
  <si>
    <t>qtde postos</t>
  </si>
  <si>
    <t>quadro resumo - valores estimados</t>
  </si>
  <si>
    <t>postos regulares</t>
  </si>
  <si>
    <t>item</t>
  </si>
  <si>
    <t>profissional</t>
  </si>
  <si>
    <t>valor por profissional</t>
  </si>
  <si>
    <t>profissionais por posto</t>
  </si>
  <si>
    <t>valor do posto</t>
  </si>
  <si>
    <t>quantidade de postos</t>
  </si>
  <si>
    <t>valor mensal</t>
  </si>
  <si>
    <t>valor anual</t>
  </si>
  <si>
    <t>visitas técnicas</t>
  </si>
  <si>
    <t>quantidade</t>
  </si>
  <si>
    <t>valor unitário</t>
  </si>
  <si>
    <t>Engenheiro Civil</t>
  </si>
  <si>
    <t>Engenheiro Mecânico</t>
  </si>
  <si>
    <t>total</t>
  </si>
  <si>
    <t>serviços adicionais</t>
  </si>
  <si>
    <t>quantidade anual</t>
  </si>
  <si>
    <t>Tratamento químico da água</t>
  </si>
  <si>
    <t>Análise da qualidade do ar</t>
  </si>
  <si>
    <t>Inspeção termográfica</t>
  </si>
  <si>
    <t>Limpeza e desinfecção dos dutos do sistema de refrigeração</t>
  </si>
  <si>
    <t>Análise do óleo de resfriadores de líquido (chiller)</t>
  </si>
  <si>
    <t>Fornecimento e manutenção de software de gerenciamento de manutenção</t>
  </si>
  <si>
    <t>valor total do contrato</t>
  </si>
  <si>
    <t>ano não eleitoral</t>
  </si>
  <si>
    <t>serviço extraordinário</t>
  </si>
  <si>
    <t>software de gerenciamento de manutenção</t>
  </si>
  <si>
    <t>equipamentos especiais</t>
  </si>
  <si>
    <t>ano eleitoral</t>
  </si>
  <si>
    <t>total - 24 meses</t>
  </si>
  <si>
    <t>visitas técnicas, serviços adicionais, software de gerenciamento, equipamentos especiais</t>
  </si>
  <si>
    <t>Limpeza e desinfecção dos reservatórios de água</t>
  </si>
  <si>
    <t>Disponibilização de equipamentos especiais (caminhão munck, plataformas e elevatórias articuladas e andaimes fachadeiros) e fornecimento de materiais / peças / componentes de reposição / equipamentos e prestação de serviços eventuais</t>
  </si>
  <si>
    <t>Eletricista</t>
  </si>
  <si>
    <t>Eletricista - Plantonista Diurno</t>
  </si>
  <si>
    <t>Eletricista - Plantonista Noturno</t>
  </si>
  <si>
    <t>Eletricista 44 horas semanais</t>
  </si>
  <si>
    <t>Eletricista 12x36 diurno</t>
  </si>
  <si>
    <t>Eletricista 12x36 noturno</t>
  </si>
  <si>
    <t>Ajudante de Montagem e Manutenção (Servente Prático) - diurno</t>
  </si>
  <si>
    <t>Ajudante de Montagem e Manutenção (Servente Prático) - noturno</t>
  </si>
  <si>
    <t>Pintor Industrial (Estruturas Metálicas) - noturno</t>
  </si>
  <si>
    <t>Assistência Médica</t>
  </si>
  <si>
    <t>BA000197/2023 SINTRACOM</t>
  </si>
  <si>
    <t>Horas Extras</t>
  </si>
  <si>
    <t>Ano Eleitoral</t>
  </si>
  <si>
    <t>Valores Referenciais</t>
  </si>
  <si>
    <t>custos indiretos, lucro e tributos</t>
  </si>
  <si>
    <t>total c/ HE (sem VT e sem VA)</t>
  </si>
  <si>
    <t>Transporte (VT)</t>
  </si>
  <si>
    <t>VT unitário</t>
  </si>
  <si>
    <t>VT diário</t>
  </si>
  <si>
    <t>VT total nas horas extras</t>
  </si>
  <si>
    <t>VT dom-fer</t>
  </si>
  <si>
    <t>Alimentação (VA)</t>
  </si>
  <si>
    <t>VA diário</t>
  </si>
  <si>
    <t>VA dom-fer</t>
  </si>
  <si>
    <t>VA total nas horas extras</t>
  </si>
  <si>
    <t>VA sab</t>
  </si>
  <si>
    <t>VA nas HE por posto</t>
  </si>
  <si>
    <t>VT sab</t>
  </si>
  <si>
    <t>HE ano eleitoral</t>
  </si>
  <si>
    <t>Transporte c/ HE</t>
  </si>
  <si>
    <t>Alimentação c/ HE</t>
  </si>
  <si>
    <t>Custo total com hora extra</t>
  </si>
  <si>
    <r>
      <t xml:space="preserve">Ano </t>
    </r>
    <r>
      <rPr>
        <b/>
        <sz val="11"/>
        <color rgb="FFFF0000"/>
        <rFont val="Times New Roman"/>
        <family val="1"/>
      </rPr>
      <t>Não</t>
    </r>
    <r>
      <rPr>
        <b/>
        <sz val="11"/>
        <color rgb="FF000000"/>
        <rFont val="Times New Roman"/>
        <family val="1"/>
      </rPr>
      <t xml:space="preserve"> Eleitoral</t>
    </r>
  </si>
  <si>
    <r>
      <t xml:space="preserve">HE ano </t>
    </r>
    <r>
      <rPr>
        <b/>
        <sz val="11"/>
        <color rgb="FFFF0000"/>
        <rFont val="Times New Roman"/>
        <family val="1"/>
      </rPr>
      <t>não</t>
    </r>
    <r>
      <rPr>
        <b/>
        <sz val="11"/>
        <color rgb="FF000000"/>
        <rFont val="Times New Roman"/>
        <family val="1"/>
        <charset val="1"/>
      </rPr>
      <t xml:space="preserve"> eleitoral</t>
    </r>
  </si>
  <si>
    <t>Técnico em Redes e Telecomunicações</t>
  </si>
  <si>
    <t>Técnico em Redes e Telecomunicações 44 horas semanais</t>
  </si>
  <si>
    <t>BA000372/2023 SINDBOMBEIROS</t>
  </si>
  <si>
    <t>unidade medida</t>
  </si>
  <si>
    <t>unidade</t>
  </si>
  <si>
    <t>metro linear</t>
  </si>
  <si>
    <t>metro cúbico</t>
  </si>
  <si>
    <t>Limitado a 17,5% do valor total com postos de trabalho não incluído o valor estimado com hora extra</t>
  </si>
  <si>
    <r>
      <t>Pintor Industrial (Estruturas Metálicas) - labor excepcionalmente diurno</t>
    </r>
    <r>
      <rPr>
        <b/>
        <vertAlign val="superscript"/>
        <sz val="10"/>
        <color rgb="FFFF0000"/>
        <rFont val="Times New Roman"/>
        <family val="1"/>
      </rPr>
      <t>1</t>
    </r>
  </si>
  <si>
    <r>
      <rPr>
        <b/>
        <vertAlign val="superscript"/>
        <sz val="10"/>
        <color rgb="FFFF0000"/>
        <rFont val="Times New Roman"/>
        <family val="1"/>
      </rPr>
      <t>1</t>
    </r>
    <r>
      <rPr>
        <sz val="8"/>
        <color rgb="FF000000"/>
        <rFont val="Times New Roman"/>
        <family val="1"/>
      </rPr>
      <t>cálculo para o caso de labor diurno, conforme tópico 4.1.3 do TR (não se soma ao total estimado)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</si>
</sst>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.00_);_(* \(#,##0.00\);_(* \-??_);_(@_)"/>
    <numFmt numFmtId="165" formatCode="_-* #,##0.00_-;\-* #,##0.00_-;_-* \-??_-;_-@_-"/>
    <numFmt numFmtId="166" formatCode="_-&quot;R$ &quot;* #,##0.00_-;&quot;-R$ &quot;* #,##0.00_-;_-&quot;R$ &quot;* \-??_-;_-@_-"/>
    <numFmt numFmtId="167" formatCode="d/m/yyyy"/>
    <numFmt numFmtId="168" formatCode="_-* #,##0_-;\-* #,##0_-;_-* \-??_-;_-@_-"/>
  </numFmts>
  <fonts count="17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0"/>
      <color rgb="FF000000"/>
      <name val="Times New Roman"/>
      <family val="1"/>
      <charset val="1"/>
    </font>
    <font>
      <b/>
      <sz val="12"/>
      <color rgb="FFFFFFFF"/>
      <name val="Times New Roman"/>
      <family val="1"/>
      <charset val="1"/>
    </font>
    <font>
      <b/>
      <sz val="10"/>
      <color rgb="FF000000"/>
      <name val="Times New Roman"/>
      <family val="1"/>
      <charset val="1"/>
    </font>
    <font>
      <b/>
      <i/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1"/>
      <color rgb="FF000000"/>
      <name val="Times New Roman"/>
      <family val="1"/>
      <charset val="1"/>
    </font>
    <font>
      <sz val="11"/>
      <color rgb="FF000000"/>
      <name val="Calibri"/>
      <family val="2"/>
      <charset val="1"/>
    </font>
    <font>
      <b/>
      <sz val="11"/>
      <color rgb="FF000000"/>
      <name val="Times New Roman"/>
      <family val="1"/>
    </font>
    <font>
      <b/>
      <sz val="11"/>
      <color theme="0"/>
      <name val="Times New Roman"/>
      <family val="1"/>
    </font>
    <font>
      <sz val="11"/>
      <color rgb="FF000000"/>
      <name val="Times New Roman"/>
      <family val="1"/>
    </font>
    <font>
      <b/>
      <sz val="14"/>
      <color rgb="FF000000"/>
      <name val="Times New Roman"/>
      <family val="1"/>
    </font>
    <font>
      <b/>
      <sz val="11"/>
      <color rgb="FFFF0000"/>
      <name val="Times New Roman"/>
      <family val="1"/>
    </font>
    <font>
      <sz val="10"/>
      <color rgb="FF000000"/>
      <name val="Times New Roman"/>
      <family val="1"/>
    </font>
    <font>
      <b/>
      <vertAlign val="superscript"/>
      <sz val="10"/>
      <color rgb="FFFF0000"/>
      <name val="Times New Roman"/>
      <family val="1"/>
    </font>
    <font>
      <sz val="8"/>
      <color rgb="FF00000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595959"/>
        <bgColor rgb="FF7F7F7F"/>
      </patternFill>
    </fill>
    <fill>
      <patternFill patternType="solid">
        <fgColor rgb="FF7F7F7F"/>
        <bgColor rgb="FF969696"/>
      </patternFill>
    </fill>
    <fill>
      <patternFill patternType="solid">
        <fgColor rgb="FFBFBFBF"/>
        <bgColor rgb="FFE6B9B8"/>
      </patternFill>
    </fill>
    <fill>
      <patternFill patternType="solid">
        <fgColor rgb="FFE6B9B8"/>
        <bgColor rgb="FFBFBFB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</borders>
  <cellStyleXfs count="13">
    <xf numFmtId="0" fontId="0" fillId="0" borderId="0"/>
    <xf numFmtId="165" fontId="8" fillId="0" borderId="0" applyBorder="0" applyProtection="0"/>
    <xf numFmtId="166" fontId="8" fillId="0" borderId="0" applyBorder="0" applyProtection="0"/>
    <xf numFmtId="9" fontId="8" fillId="0" borderId="0" applyBorder="0" applyProtection="0"/>
    <xf numFmtId="0" fontId="8" fillId="0" borderId="0"/>
    <xf numFmtId="164" fontId="1" fillId="0" borderId="0" applyBorder="0" applyProtection="0"/>
    <xf numFmtId="165" fontId="8" fillId="0" borderId="0" applyBorder="0" applyProtection="0"/>
    <xf numFmtId="165" fontId="8" fillId="0" borderId="0" applyBorder="0" applyProtection="0"/>
    <xf numFmtId="165" fontId="8" fillId="0" borderId="0" applyBorder="0" applyProtection="0"/>
    <xf numFmtId="165" fontId="8" fillId="0" borderId="0" applyBorder="0" applyProtection="0"/>
    <xf numFmtId="165" fontId="8" fillId="0" borderId="0" applyBorder="0" applyProtection="0"/>
    <xf numFmtId="165" fontId="8" fillId="0" borderId="0" applyBorder="0" applyProtection="0"/>
    <xf numFmtId="165" fontId="8" fillId="0" borderId="0" applyBorder="0" applyProtection="0"/>
  </cellStyleXfs>
  <cellXfs count="13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 applyAlignment="1"/>
    <xf numFmtId="0" fontId="2" fillId="0" borderId="1" xfId="0" applyFont="1" applyBorder="1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5" fontId="2" fillId="0" borderId="1" xfId="1" applyFont="1" applyBorder="1" applyAlignment="1" applyProtection="1">
      <alignment horizontal="center" vertical="center" wrapText="1"/>
    </xf>
    <xf numFmtId="165" fontId="4" fillId="0" borderId="1" xfId="1" applyFont="1" applyBorder="1" applyAlignment="1" applyProtection="1">
      <alignment horizontal="center" vertical="center" wrapText="1"/>
    </xf>
    <xf numFmtId="0" fontId="4" fillId="0" borderId="0" xfId="0" applyFont="1" applyAlignment="1">
      <alignment vertical="center"/>
    </xf>
    <xf numFmtId="10" fontId="2" fillId="0" borderId="1" xfId="3" applyNumberFormat="1" applyFont="1" applyBorder="1" applyAlignment="1" applyProtection="1">
      <alignment horizontal="center" vertical="center" wrapText="1"/>
    </xf>
    <xf numFmtId="10" fontId="4" fillId="0" borderId="3" xfId="0" applyNumberFormat="1" applyFont="1" applyBorder="1" applyAlignment="1">
      <alignment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0" fontId="2" fillId="5" borderId="1" xfId="3" applyNumberFormat="1" applyFont="1" applyFill="1" applyBorder="1" applyAlignment="1" applyProtection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0" fontId="2" fillId="0" borderId="0" xfId="3" applyNumberFormat="1" applyFont="1" applyBorder="1" applyAlignment="1" applyProtection="1"/>
    <xf numFmtId="165" fontId="2" fillId="0" borderId="0" xfId="0" applyNumberFormat="1" applyFont="1"/>
    <xf numFmtId="0" fontId="2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10" fontId="5" fillId="0" borderId="3" xfId="3" applyNumberFormat="1" applyFont="1" applyBorder="1" applyAlignment="1" applyProtection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165" fontId="4" fillId="0" borderId="1" xfId="0" applyNumberFormat="1" applyFont="1" applyBorder="1" applyAlignment="1">
      <alignment vertical="center" wrapText="1"/>
    </xf>
    <xf numFmtId="165" fontId="2" fillId="0" borderId="1" xfId="1" applyFont="1" applyBorder="1" applyAlignment="1" applyProtection="1">
      <alignment vertical="center" wrapText="1"/>
    </xf>
    <xf numFmtId="0" fontId="6" fillId="0" borderId="0" xfId="0" applyFont="1"/>
    <xf numFmtId="165" fontId="6" fillId="0" borderId="0" xfId="0" applyNumberFormat="1" applyFont="1"/>
    <xf numFmtId="0" fontId="6" fillId="0" borderId="1" xfId="0" applyFont="1" applyBorder="1"/>
    <xf numFmtId="0" fontId="6" fillId="0" borderId="2" xfId="0" applyFont="1" applyBorder="1"/>
    <xf numFmtId="165" fontId="6" fillId="0" borderId="3" xfId="0" applyNumberFormat="1" applyFont="1" applyBorder="1"/>
    <xf numFmtId="10" fontId="6" fillId="0" borderId="1" xfId="0" applyNumberFormat="1" applyFont="1" applyBorder="1"/>
    <xf numFmtId="165" fontId="6" fillId="0" borderId="1" xfId="0" applyNumberFormat="1" applyFont="1" applyBorder="1"/>
    <xf numFmtId="9" fontId="6" fillId="0" borderId="1" xfId="0" applyNumberFormat="1" applyFont="1" applyBorder="1"/>
    <xf numFmtId="168" fontId="6" fillId="0" borderId="3" xfId="0" applyNumberFormat="1" applyFont="1" applyBorder="1"/>
    <xf numFmtId="0" fontId="7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vertical="center" wrapText="1"/>
    </xf>
    <xf numFmtId="165" fontId="6" fillId="0" borderId="4" xfId="1" applyFont="1" applyBorder="1" applyAlignment="1" applyProtection="1">
      <alignment vertical="center"/>
    </xf>
    <xf numFmtId="0" fontId="9" fillId="0" borderId="4" xfId="0" applyFont="1" applyBorder="1"/>
    <xf numFmtId="165" fontId="9" fillId="0" borderId="4" xfId="1" applyFont="1" applyBorder="1" applyAlignment="1" applyProtection="1"/>
    <xf numFmtId="165" fontId="9" fillId="0" borderId="4" xfId="1" applyFont="1" applyBorder="1" applyAlignment="1" applyProtection="1">
      <alignment vertical="center"/>
    </xf>
    <xf numFmtId="0" fontId="6" fillId="0" borderId="4" xfId="0" applyFont="1" applyBorder="1"/>
    <xf numFmtId="165" fontId="6" fillId="0" borderId="4" xfId="1" applyFont="1" applyBorder="1" applyAlignment="1" applyProtection="1"/>
    <xf numFmtId="165" fontId="6" fillId="0" borderId="4" xfId="0" applyNumberFormat="1" applyFont="1" applyBorder="1"/>
    <xf numFmtId="0" fontId="9" fillId="0" borderId="4" xfId="0" applyFont="1" applyBorder="1" applyAlignment="1">
      <alignment horizontal="center" vertical="center"/>
    </xf>
    <xf numFmtId="165" fontId="9" fillId="0" borderId="4" xfId="0" applyNumberFormat="1" applyFont="1" applyBorder="1"/>
    <xf numFmtId="0" fontId="6" fillId="0" borderId="10" xfId="0" applyFont="1" applyBorder="1"/>
    <xf numFmtId="0" fontId="6" fillId="0" borderId="11" xfId="0" applyFont="1" applyBorder="1"/>
    <xf numFmtId="0" fontId="6" fillId="0" borderId="12" xfId="0" applyFont="1" applyBorder="1"/>
    <xf numFmtId="0" fontId="9" fillId="0" borderId="8" xfId="0" applyFont="1" applyBorder="1"/>
    <xf numFmtId="0" fontId="9" fillId="0" borderId="5" xfId="0" applyFont="1" applyBorder="1"/>
    <xf numFmtId="0" fontId="9" fillId="0" borderId="9" xfId="0" applyFont="1" applyBorder="1"/>
    <xf numFmtId="4" fontId="9" fillId="0" borderId="4" xfId="0" applyNumberFormat="1" applyFont="1" applyBorder="1"/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0" fillId="0" borderId="0" xfId="0" applyAlignment="1"/>
    <xf numFmtId="0" fontId="6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6" fillId="0" borderId="14" xfId="0" applyFont="1" applyBorder="1"/>
    <xf numFmtId="9" fontId="6" fillId="0" borderId="14" xfId="0" applyNumberFormat="1" applyFont="1" applyBorder="1"/>
    <xf numFmtId="165" fontId="6" fillId="0" borderId="14" xfId="0" applyNumberFormat="1" applyFont="1" applyBorder="1"/>
    <xf numFmtId="0" fontId="6" fillId="0" borderId="0" xfId="0" applyFont="1" applyBorder="1"/>
    <xf numFmtId="9" fontId="6" fillId="0" borderId="0" xfId="0" applyNumberFormat="1" applyFont="1" applyBorder="1"/>
    <xf numFmtId="165" fontId="6" fillId="0" borderId="0" xfId="0" applyNumberFormat="1" applyFont="1" applyBorder="1"/>
    <xf numFmtId="10" fontId="6" fillId="0" borderId="3" xfId="0" applyNumberFormat="1" applyFont="1" applyBorder="1"/>
    <xf numFmtId="168" fontId="6" fillId="0" borderId="1" xfId="0" applyNumberFormat="1" applyFont="1" applyBorder="1"/>
    <xf numFmtId="168" fontId="6" fillId="0" borderId="2" xfId="0" applyNumberFormat="1" applyFont="1" applyBorder="1"/>
    <xf numFmtId="168" fontId="6" fillId="0" borderId="0" xfId="0" applyNumberFormat="1" applyFont="1" applyBorder="1"/>
    <xf numFmtId="0" fontId="9" fillId="0" borderId="0" xfId="0" applyFont="1"/>
    <xf numFmtId="0" fontId="12" fillId="0" borderId="0" xfId="0" applyFont="1" applyAlignment="1">
      <alignment wrapText="1"/>
    </xf>
    <xf numFmtId="0" fontId="9" fillId="0" borderId="0" xfId="0" applyFont="1" applyBorder="1"/>
    <xf numFmtId="0" fontId="7" fillId="8" borderId="1" xfId="0" applyFont="1" applyFill="1" applyBorder="1" applyAlignment="1">
      <alignment wrapText="1"/>
    </xf>
    <xf numFmtId="165" fontId="7" fillId="0" borderId="1" xfId="0" applyNumberFormat="1" applyFont="1" applyBorder="1"/>
    <xf numFmtId="0" fontId="6" fillId="0" borderId="6" xfId="0" applyFont="1" applyBorder="1" applyAlignment="1"/>
    <xf numFmtId="0" fontId="6" fillId="0" borderId="7" xfId="0" applyFont="1" applyBorder="1" applyAlignment="1"/>
    <xf numFmtId="0" fontId="9" fillId="0" borderId="4" xfId="0" applyFont="1" applyBorder="1" applyAlignment="1">
      <alignment horizontal="center" vertical="center"/>
    </xf>
    <xf numFmtId="0" fontId="6" fillId="0" borderId="4" xfId="0" applyFont="1" applyBorder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9" fillId="0" borderId="6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6" fillId="0" borderId="4" xfId="0" applyFont="1" applyBorder="1" applyAlignment="1">
      <alignment horizontal="center"/>
    </xf>
    <xf numFmtId="165" fontId="11" fillId="0" borderId="7" xfId="0" applyNumberFormat="1" applyFont="1" applyBorder="1"/>
    <xf numFmtId="0" fontId="14" fillId="0" borderId="0" xfId="0" applyFont="1"/>
    <xf numFmtId="0" fontId="3" fillId="2" borderId="0" xfId="0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4" borderId="0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2" fontId="2" fillId="0" borderId="1" xfId="2" applyNumberFormat="1" applyFont="1" applyBorder="1" applyAlignment="1" applyProtection="1">
      <alignment horizontal="center"/>
    </xf>
    <xf numFmtId="167" fontId="2" fillId="0" borderId="1" xfId="0" applyNumberFormat="1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/>
    <xf numFmtId="0" fontId="9" fillId="0" borderId="4" xfId="0" applyFont="1" applyBorder="1" applyAlignment="1">
      <alignment horizontal="center"/>
    </xf>
    <xf numFmtId="0" fontId="10" fillId="7" borderId="0" xfId="0" applyFont="1" applyFill="1" applyAlignment="1">
      <alignment horizontal="center"/>
    </xf>
    <xf numFmtId="0" fontId="9" fillId="6" borderId="0" xfId="0" applyFont="1" applyFill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4" xfId="0" applyFont="1" applyBorder="1" applyAlignment="1">
      <alignment horizontal="center" vertical="center"/>
    </xf>
    <xf numFmtId="0" fontId="6" fillId="0" borderId="6" xfId="0" applyFont="1" applyBorder="1"/>
    <xf numFmtId="0" fontId="6" fillId="0" borderId="13" xfId="0" applyFont="1" applyBorder="1"/>
    <xf numFmtId="0" fontId="6" fillId="0" borderId="7" xfId="0" applyFont="1" applyBorder="1"/>
    <xf numFmtId="0" fontId="9" fillId="0" borderId="6" xfId="0" applyFont="1" applyBorder="1" applyAlignment="1">
      <alignment vertical="top" wrapText="1"/>
    </xf>
    <xf numFmtId="0" fontId="9" fillId="0" borderId="13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0" fontId="11" fillId="0" borderId="6" xfId="0" applyFont="1" applyBorder="1" applyAlignment="1">
      <alignment vertical="top" wrapText="1"/>
    </xf>
    <xf numFmtId="0" fontId="11" fillId="0" borderId="13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</cellXfs>
  <cellStyles count="13">
    <cellStyle name="Moeda" xfId="2" builtinId="4"/>
    <cellStyle name="Normal" xfId="0" builtinId="0"/>
    <cellStyle name="Normal 2" xfId="4"/>
    <cellStyle name="Porcentagem" xfId="3" builtinId="5"/>
    <cellStyle name="Vírgula" xfId="1" builtinId="3"/>
    <cellStyle name="Vírgula 2" xfId="5"/>
    <cellStyle name="Vírgula 3" xfId="6"/>
    <cellStyle name="Vírgula 3 2" xfId="7"/>
    <cellStyle name="Vírgula 4" xfId="8"/>
    <cellStyle name="Vírgula 4 2" xfId="9"/>
    <cellStyle name="Vírgula 5" xfId="10"/>
    <cellStyle name="Vírgula 5 2" xfId="11"/>
    <cellStyle name="Vírgula 6" xfId="12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E6B9B8"/>
      <rgbColor rgb="FF3366FF"/>
      <rgbColor rgb="FF33CCCC"/>
      <rgbColor rgb="FF99CC00"/>
      <rgbColor rgb="FFFFCC00"/>
      <rgbColor rgb="FFFF9900"/>
      <rgbColor rgb="FFFF6600"/>
      <rgbColor rgb="FF59595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2400300</xdr:colOff>
      <xdr:row>0</xdr:row>
      <xdr:rowOff>0</xdr:rowOff>
    </xdr:from>
    <xdr:to>
      <xdr:col>4</xdr:col>
      <xdr:colOff>1000125</xdr:colOff>
      <xdr:row>7</xdr:row>
      <xdr:rowOff>90445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0"/>
          <a:ext cx="3743325" cy="1423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6"/>
  <sheetViews>
    <sheetView topLeftCell="A55" zoomScale="115" zoomScaleNormal="115" workbookViewId="0">
      <selection activeCell="C19" sqref="C19:D19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104" t="s">
        <v>0</v>
      </c>
      <c r="B1" s="104"/>
      <c r="C1" s="104"/>
      <c r="D1" s="104"/>
    </row>
    <row r="2" spans="1:4" ht="15.75" x14ac:dyDescent="0.25">
      <c r="A2" s="2"/>
      <c r="B2" s="2"/>
      <c r="C2" s="2"/>
      <c r="D2" s="2"/>
    </row>
    <row r="3" spans="1:4" x14ac:dyDescent="0.25">
      <c r="A3" s="105" t="s">
        <v>1</v>
      </c>
      <c r="B3" s="105"/>
      <c r="C3" s="105"/>
      <c r="D3" s="105"/>
    </row>
    <row r="4" spans="1:4" x14ac:dyDescent="0.25">
      <c r="A4" s="3"/>
      <c r="B4" s="3"/>
      <c r="C4" s="3"/>
      <c r="D4" s="3"/>
    </row>
    <row r="5" spans="1:4" x14ac:dyDescent="0.25">
      <c r="A5" s="4" t="s">
        <v>2</v>
      </c>
      <c r="B5" s="5" t="s">
        <v>3</v>
      </c>
      <c r="C5" s="6"/>
      <c r="D5" s="7"/>
    </row>
    <row r="6" spans="1:4" x14ac:dyDescent="0.25">
      <c r="A6" s="4" t="s">
        <v>4</v>
      </c>
      <c r="B6" s="5" t="s">
        <v>5</v>
      </c>
      <c r="C6" s="6"/>
      <c r="D6" s="7"/>
    </row>
    <row r="7" spans="1:4" x14ac:dyDescent="0.25">
      <c r="A7" s="4" t="s">
        <v>6</v>
      </c>
      <c r="B7" s="5" t="s">
        <v>7</v>
      </c>
      <c r="C7" s="6"/>
      <c r="D7" s="7"/>
    </row>
    <row r="8" spans="1:4" x14ac:dyDescent="0.25">
      <c r="A8" s="4" t="s">
        <v>8</v>
      </c>
      <c r="B8" s="5" t="s">
        <v>9</v>
      </c>
      <c r="C8" s="6"/>
      <c r="D8" s="7">
        <v>24</v>
      </c>
    </row>
    <row r="10" spans="1:4" x14ac:dyDescent="0.25">
      <c r="A10" s="105" t="s">
        <v>10</v>
      </c>
      <c r="B10" s="105"/>
      <c r="C10" s="105"/>
      <c r="D10" s="105"/>
    </row>
    <row r="11" spans="1:4" x14ac:dyDescent="0.25">
      <c r="A11" s="3"/>
      <c r="B11" s="3"/>
      <c r="C11" s="3"/>
      <c r="D11" s="3"/>
    </row>
    <row r="12" spans="1:4" ht="38.25" customHeight="1" x14ac:dyDescent="0.25">
      <c r="A12" s="106" t="s">
        <v>11</v>
      </c>
      <c r="B12" s="106"/>
      <c r="C12" s="8" t="s">
        <v>12</v>
      </c>
      <c r="D12" s="9" t="s">
        <v>13</v>
      </c>
    </row>
    <row r="13" spans="1:4" s="11" customFormat="1" ht="12.75" x14ac:dyDescent="0.2">
      <c r="A13" s="107" t="s">
        <v>14</v>
      </c>
      <c r="B13" s="107"/>
      <c r="C13" s="10" t="s">
        <v>15</v>
      </c>
      <c r="D13" s="10">
        <v>1</v>
      </c>
    </row>
    <row r="15" spans="1:4" x14ac:dyDescent="0.25">
      <c r="A15" s="105" t="s">
        <v>16</v>
      </c>
      <c r="B15" s="105"/>
      <c r="C15" s="105"/>
      <c r="D15" s="105"/>
    </row>
    <row r="16" spans="1:4" x14ac:dyDescent="0.25">
      <c r="A16" s="3"/>
      <c r="B16" s="3"/>
      <c r="C16" s="3"/>
      <c r="D16" s="3"/>
    </row>
    <row r="17" spans="1:4" x14ac:dyDescent="0.25">
      <c r="A17" s="4">
        <v>1</v>
      </c>
      <c r="B17" s="4" t="s">
        <v>17</v>
      </c>
      <c r="C17" s="108" t="s">
        <v>18</v>
      </c>
      <c r="D17" s="108"/>
    </row>
    <row r="18" spans="1:4" x14ac:dyDescent="0.25">
      <c r="A18" s="4">
        <v>2</v>
      </c>
      <c r="B18" s="4" t="s">
        <v>19</v>
      </c>
      <c r="C18" s="108" t="s">
        <v>20</v>
      </c>
      <c r="D18" s="108"/>
    </row>
    <row r="19" spans="1:4" x14ac:dyDescent="0.25">
      <c r="A19" s="4">
        <v>3</v>
      </c>
      <c r="B19" s="4" t="s">
        <v>21</v>
      </c>
      <c r="C19" s="109">
        <f>1320*7.66</f>
        <v>10111.200000000001</v>
      </c>
      <c r="D19" s="109"/>
    </row>
    <row r="20" spans="1:4" x14ac:dyDescent="0.25">
      <c r="A20" s="4">
        <v>4</v>
      </c>
      <c r="B20" s="4" t="s">
        <v>22</v>
      </c>
      <c r="C20" s="108"/>
      <c r="D20" s="108"/>
    </row>
    <row r="21" spans="1:4" x14ac:dyDescent="0.25">
      <c r="A21" s="4">
        <v>5</v>
      </c>
      <c r="B21" s="4" t="s">
        <v>23</v>
      </c>
      <c r="C21" s="108"/>
      <c r="D21" s="108"/>
    </row>
    <row r="23" spans="1:4" x14ac:dyDescent="0.25">
      <c r="A23" s="105" t="s">
        <v>24</v>
      </c>
      <c r="B23" s="105"/>
      <c r="C23" s="105"/>
      <c r="D23" s="105"/>
    </row>
    <row r="25" spans="1:4" ht="12.75" customHeight="1" x14ac:dyDescent="0.25">
      <c r="A25" s="12">
        <v>1</v>
      </c>
      <c r="B25" s="110" t="s">
        <v>25</v>
      </c>
      <c r="C25" s="110"/>
      <c r="D25" s="12" t="s">
        <v>26</v>
      </c>
    </row>
    <row r="26" spans="1:4" ht="12.75" customHeight="1" x14ac:dyDescent="0.25">
      <c r="A26" s="8" t="s">
        <v>2</v>
      </c>
      <c r="B26" s="111" t="s">
        <v>27</v>
      </c>
      <c r="C26" s="111"/>
      <c r="D26" s="14">
        <f>C19</f>
        <v>10111.200000000001</v>
      </c>
    </row>
    <row r="27" spans="1:4" ht="12.75" customHeight="1" x14ac:dyDescent="0.25">
      <c r="A27" s="8" t="s">
        <v>4</v>
      </c>
      <c r="B27" s="111" t="s">
        <v>28</v>
      </c>
      <c r="C27" s="111"/>
      <c r="D27" s="14">
        <f>D26*0.3</f>
        <v>3033.36</v>
      </c>
    </row>
    <row r="28" spans="1:4" ht="12.75" customHeight="1" x14ac:dyDescent="0.25">
      <c r="A28" s="8" t="s">
        <v>6</v>
      </c>
      <c r="B28" s="111" t="s">
        <v>29</v>
      </c>
      <c r="C28" s="111"/>
      <c r="D28" s="14"/>
    </row>
    <row r="29" spans="1:4" ht="12.75" customHeight="1" x14ac:dyDescent="0.25">
      <c r="A29" s="8" t="s">
        <v>8</v>
      </c>
      <c r="B29" s="111" t="s">
        <v>30</v>
      </c>
      <c r="C29" s="111"/>
      <c r="D29" s="14"/>
    </row>
    <row r="30" spans="1:4" ht="12.75" customHeight="1" x14ac:dyDescent="0.25">
      <c r="A30" s="8" t="s">
        <v>31</v>
      </c>
      <c r="B30" s="111" t="s">
        <v>32</v>
      </c>
      <c r="C30" s="111"/>
      <c r="D30" s="14"/>
    </row>
    <row r="31" spans="1:4" x14ac:dyDescent="0.25">
      <c r="A31" s="8"/>
      <c r="B31" s="111"/>
      <c r="C31" s="111"/>
      <c r="D31" s="14"/>
    </row>
    <row r="32" spans="1:4" ht="12.75" customHeight="1" x14ac:dyDescent="0.25">
      <c r="A32" s="8" t="s">
        <v>33</v>
      </c>
      <c r="B32" s="111" t="s">
        <v>34</v>
      </c>
      <c r="C32" s="111"/>
      <c r="D32" s="14"/>
    </row>
    <row r="33" spans="1:4" ht="12.75" customHeight="1" x14ac:dyDescent="0.25">
      <c r="A33" s="110" t="s">
        <v>35</v>
      </c>
      <c r="B33" s="110"/>
      <c r="C33" s="110"/>
      <c r="D33" s="15">
        <f>SUM(D26:D32)</f>
        <v>13144.560000000001</v>
      </c>
    </row>
    <row r="36" spans="1:4" x14ac:dyDescent="0.25">
      <c r="A36" s="105" t="s">
        <v>36</v>
      </c>
      <c r="B36" s="105"/>
      <c r="C36" s="105"/>
      <c r="D36" s="105"/>
    </row>
    <row r="37" spans="1:4" x14ac:dyDescent="0.25">
      <c r="A37" s="16"/>
    </row>
    <row r="38" spans="1:4" x14ac:dyDescent="0.25">
      <c r="A38" s="112" t="s">
        <v>37</v>
      </c>
      <c r="B38" s="112"/>
      <c r="C38" s="112"/>
      <c r="D38" s="112"/>
    </row>
    <row r="40" spans="1:4" ht="12.75" customHeight="1" x14ac:dyDescent="0.25">
      <c r="A40" s="12" t="s">
        <v>38</v>
      </c>
      <c r="B40" s="110" t="s">
        <v>39</v>
      </c>
      <c r="C40" s="110"/>
      <c r="D40" s="12" t="s">
        <v>26</v>
      </c>
    </row>
    <row r="41" spans="1:4" x14ac:dyDescent="0.25">
      <c r="A41" s="8" t="s">
        <v>2</v>
      </c>
      <c r="B41" s="13" t="s">
        <v>40</v>
      </c>
      <c r="C41" s="17">
        <f>TRUNC(1/12,4)</f>
        <v>8.3299999999999999E-2</v>
      </c>
      <c r="D41" s="14">
        <f>TRUNC($D$33*C41,2)</f>
        <v>1094.94</v>
      </c>
    </row>
    <row r="42" spans="1:4" x14ac:dyDescent="0.25">
      <c r="A42" s="8" t="s">
        <v>4</v>
      </c>
      <c r="B42" s="13" t="s">
        <v>41</v>
      </c>
      <c r="C42" s="17">
        <f>TRUNC(((1+1/3)/12),4)</f>
        <v>0.1111</v>
      </c>
      <c r="D42" s="14">
        <f>TRUNC($D$33*C42,2)</f>
        <v>1460.36</v>
      </c>
    </row>
    <row r="43" spans="1:4" ht="12.75" customHeight="1" x14ac:dyDescent="0.25">
      <c r="A43" s="110" t="s">
        <v>35</v>
      </c>
      <c r="B43" s="110"/>
      <c r="C43" s="18">
        <f>SUM(C41:C42)</f>
        <v>0.19440000000000002</v>
      </c>
      <c r="D43" s="19">
        <f>SUM(D41:D42)</f>
        <v>2555.3000000000002</v>
      </c>
    </row>
    <row r="46" spans="1:4" ht="12.75" customHeight="1" x14ac:dyDescent="0.25">
      <c r="A46" s="113" t="s">
        <v>42</v>
      </c>
      <c r="B46" s="113"/>
      <c r="C46" s="113"/>
      <c r="D46" s="113"/>
    </row>
    <row r="48" spans="1:4" x14ac:dyDescent="0.25">
      <c r="A48" s="12" t="s">
        <v>43</v>
      </c>
      <c r="B48" s="12" t="s">
        <v>44</v>
      </c>
      <c r="C48" s="12" t="s">
        <v>45</v>
      </c>
      <c r="D48" s="12" t="s">
        <v>26</v>
      </c>
    </row>
    <row r="49" spans="1:4" x14ac:dyDescent="0.25">
      <c r="A49" s="8" t="s">
        <v>2</v>
      </c>
      <c r="B49" s="13" t="s">
        <v>46</v>
      </c>
      <c r="C49" s="20">
        <v>0.2</v>
      </c>
      <c r="D49" s="14">
        <f t="shared" ref="D49:D56" si="0">TRUNC(($D$33+$D$43)*C49,2)</f>
        <v>3139.97</v>
      </c>
    </row>
    <row r="50" spans="1:4" x14ac:dyDescent="0.25">
      <c r="A50" s="8" t="s">
        <v>4</v>
      </c>
      <c r="B50" s="13" t="s">
        <v>47</v>
      </c>
      <c r="C50" s="20">
        <v>2.5000000000000001E-2</v>
      </c>
      <c r="D50" s="14">
        <f t="shared" si="0"/>
        <v>392.49</v>
      </c>
    </row>
    <row r="51" spans="1:4" x14ac:dyDescent="0.25">
      <c r="A51" s="8" t="s">
        <v>6</v>
      </c>
      <c r="B51" s="13" t="s">
        <v>48</v>
      </c>
      <c r="C51" s="21">
        <v>0.03</v>
      </c>
      <c r="D51" s="14">
        <f t="shared" si="0"/>
        <v>470.99</v>
      </c>
    </row>
    <row r="52" spans="1:4" x14ac:dyDescent="0.25">
      <c r="A52" s="8" t="s">
        <v>8</v>
      </c>
      <c r="B52" s="13" t="s">
        <v>49</v>
      </c>
      <c r="C52" s="20">
        <v>1.4999999999999999E-2</v>
      </c>
      <c r="D52" s="14">
        <f t="shared" si="0"/>
        <v>235.49</v>
      </c>
    </row>
    <row r="53" spans="1:4" x14ac:dyDescent="0.25">
      <c r="A53" s="8" t="s">
        <v>31</v>
      </c>
      <c r="B53" s="13" t="s">
        <v>50</v>
      </c>
      <c r="C53" s="20">
        <v>0.01</v>
      </c>
      <c r="D53" s="14">
        <f t="shared" si="0"/>
        <v>156.99</v>
      </c>
    </row>
    <row r="54" spans="1:4" x14ac:dyDescent="0.25">
      <c r="A54" s="8" t="s">
        <v>51</v>
      </c>
      <c r="B54" s="13" t="s">
        <v>52</v>
      </c>
      <c r="C54" s="20">
        <v>6.0000000000000001E-3</v>
      </c>
      <c r="D54" s="14">
        <f t="shared" si="0"/>
        <v>94.19</v>
      </c>
    </row>
    <row r="55" spans="1:4" x14ac:dyDescent="0.25">
      <c r="A55" s="8" t="s">
        <v>33</v>
      </c>
      <c r="B55" s="13" t="s">
        <v>53</v>
      </c>
      <c r="C55" s="20">
        <v>2E-3</v>
      </c>
      <c r="D55" s="14">
        <f t="shared" si="0"/>
        <v>31.39</v>
      </c>
    </row>
    <row r="56" spans="1:4" x14ac:dyDescent="0.25">
      <c r="A56" s="8" t="s">
        <v>54</v>
      </c>
      <c r="B56" s="13" t="s">
        <v>55</v>
      </c>
      <c r="C56" s="20">
        <v>0.08</v>
      </c>
      <c r="D56" s="14">
        <f t="shared" si="0"/>
        <v>1255.98</v>
      </c>
    </row>
    <row r="57" spans="1:4" ht="12.75" customHeight="1" x14ac:dyDescent="0.25">
      <c r="A57" s="110" t="s">
        <v>56</v>
      </c>
      <c r="B57" s="110"/>
      <c r="C57" s="22">
        <f>SUM(C49:C56)</f>
        <v>0.36800000000000005</v>
      </c>
      <c r="D57" s="19">
        <f>SUM(D49:D56)</f>
        <v>5777.49</v>
      </c>
    </row>
    <row r="60" spans="1:4" x14ac:dyDescent="0.25">
      <c r="A60" s="112" t="s">
        <v>57</v>
      </c>
      <c r="B60" s="112"/>
      <c r="C60" s="112"/>
      <c r="D60" s="112"/>
    </row>
    <row r="62" spans="1:4" ht="12.75" customHeight="1" x14ac:dyDescent="0.25">
      <c r="A62" s="12" t="s">
        <v>58</v>
      </c>
      <c r="B62" s="114" t="s">
        <v>59</v>
      </c>
      <c r="C62" s="114"/>
      <c r="D62" s="12" t="s">
        <v>26</v>
      </c>
    </row>
    <row r="63" spans="1:4" ht="12.75" customHeight="1" x14ac:dyDescent="0.25">
      <c r="A63" s="8" t="s">
        <v>2</v>
      </c>
      <c r="B63" s="111" t="s">
        <v>60</v>
      </c>
      <c r="C63" s="111"/>
      <c r="D63" s="14">
        <f>IF((23*2*4.9)&gt;(D26*0.06),(23*2*4.9)-(D26*0.06),0)</f>
        <v>0</v>
      </c>
    </row>
    <row r="64" spans="1:4" ht="12.75" customHeight="1" x14ac:dyDescent="0.25">
      <c r="A64" s="8" t="s">
        <v>4</v>
      </c>
      <c r="B64" s="111" t="s">
        <v>61</v>
      </c>
      <c r="C64" s="111"/>
      <c r="D64" s="14"/>
    </row>
    <row r="65" spans="1:5" ht="12.75" customHeight="1" x14ac:dyDescent="0.25">
      <c r="A65" s="8" t="s">
        <v>6</v>
      </c>
      <c r="B65" s="111" t="s">
        <v>62</v>
      </c>
      <c r="C65" s="111"/>
      <c r="D65" s="14"/>
    </row>
    <row r="66" spans="1:5" ht="12.75" customHeight="1" x14ac:dyDescent="0.25">
      <c r="A66" s="8" t="s">
        <v>8</v>
      </c>
      <c r="B66" s="111" t="s">
        <v>34</v>
      </c>
      <c r="C66" s="111"/>
      <c r="D66" s="14"/>
    </row>
    <row r="67" spans="1:5" ht="12.75" customHeight="1" x14ac:dyDescent="0.25">
      <c r="A67" s="110" t="s">
        <v>35</v>
      </c>
      <c r="B67" s="110"/>
      <c r="C67" s="110"/>
      <c r="D67" s="19">
        <f>SUM(D63:D66)</f>
        <v>0</v>
      </c>
    </row>
    <row r="70" spans="1:5" x14ac:dyDescent="0.25">
      <c r="A70" s="112" t="s">
        <v>63</v>
      </c>
      <c r="B70" s="112"/>
      <c r="C70" s="112"/>
      <c r="D70" s="112"/>
    </row>
    <row r="72" spans="1:5" ht="12.75" customHeight="1" x14ac:dyDescent="0.25">
      <c r="A72" s="12">
        <v>2</v>
      </c>
      <c r="B72" s="114" t="s">
        <v>64</v>
      </c>
      <c r="C72" s="114"/>
      <c r="D72" s="12" t="s">
        <v>26</v>
      </c>
    </row>
    <row r="73" spans="1:5" ht="12.75" customHeight="1" x14ac:dyDescent="0.25">
      <c r="A73" s="8" t="s">
        <v>38</v>
      </c>
      <c r="B73" s="111" t="s">
        <v>39</v>
      </c>
      <c r="C73" s="111"/>
      <c r="D73" s="23">
        <f>D43</f>
        <v>2555.3000000000002</v>
      </c>
    </row>
    <row r="74" spans="1:5" ht="12.75" customHeight="1" x14ac:dyDescent="0.25">
      <c r="A74" s="8" t="s">
        <v>43</v>
      </c>
      <c r="B74" s="111" t="s">
        <v>44</v>
      </c>
      <c r="C74" s="111"/>
      <c r="D74" s="23">
        <f>D57</f>
        <v>5777.49</v>
      </c>
    </row>
    <row r="75" spans="1:5" ht="12.75" customHeight="1" x14ac:dyDescent="0.25">
      <c r="A75" s="8" t="s">
        <v>58</v>
      </c>
      <c r="B75" s="111" t="s">
        <v>59</v>
      </c>
      <c r="C75" s="111"/>
      <c r="D75" s="23">
        <f>D67</f>
        <v>0</v>
      </c>
    </row>
    <row r="76" spans="1:5" ht="12.75" customHeight="1" x14ac:dyDescent="0.25">
      <c r="A76" s="110" t="s">
        <v>35</v>
      </c>
      <c r="B76" s="110"/>
      <c r="C76" s="110"/>
      <c r="D76" s="19">
        <f>SUM(D73:D75)</f>
        <v>8332.7900000000009</v>
      </c>
    </row>
    <row r="77" spans="1:5" x14ac:dyDescent="0.25">
      <c r="A77" s="24"/>
      <c r="E77" s="25"/>
    </row>
    <row r="79" spans="1:5" x14ac:dyDescent="0.25">
      <c r="A79" s="105" t="s">
        <v>65</v>
      </c>
      <c r="B79" s="105"/>
      <c r="C79" s="105"/>
      <c r="D79" s="105"/>
      <c r="E79" s="26"/>
    </row>
    <row r="80" spans="1:5" ht="12.75" customHeight="1" x14ac:dyDescent="0.25">
      <c r="E80" s="25"/>
    </row>
    <row r="81" spans="1:4" ht="12.75" customHeight="1" x14ac:dyDescent="0.25">
      <c r="A81" s="12">
        <v>3</v>
      </c>
      <c r="B81" s="114" t="s">
        <v>66</v>
      </c>
      <c r="C81" s="114"/>
      <c r="D81" s="12" t="s">
        <v>26</v>
      </c>
    </row>
    <row r="82" spans="1:4" x14ac:dyDescent="0.25">
      <c r="A82" s="8" t="s">
        <v>2</v>
      </c>
      <c r="B82" s="27" t="s">
        <v>67</v>
      </c>
      <c r="C82" s="20">
        <f>TRUNC(((1/12)*5%),4)</f>
        <v>4.1000000000000003E-3</v>
      </c>
      <c r="D82" s="14">
        <f>TRUNC($D$33*C82,2)</f>
        <v>53.89</v>
      </c>
    </row>
    <row r="83" spans="1:4" x14ac:dyDescent="0.25">
      <c r="A83" s="8" t="s">
        <v>4</v>
      </c>
      <c r="B83" s="27" t="s">
        <v>68</v>
      </c>
      <c r="C83" s="20">
        <v>0.08</v>
      </c>
      <c r="D83" s="14">
        <f>TRUNC(D82*C83,2)</f>
        <v>4.3099999999999996</v>
      </c>
    </row>
    <row r="84" spans="1:4" x14ac:dyDescent="0.25">
      <c r="A84" s="8" t="s">
        <v>6</v>
      </c>
      <c r="B84" s="27" t="s">
        <v>69</v>
      </c>
      <c r="C84" s="20">
        <f>TRUNC(8%*5%*40%,4)</f>
        <v>1.6000000000000001E-3</v>
      </c>
      <c r="D84" s="14">
        <f>TRUNC($D$33*C84,2)</f>
        <v>21.03</v>
      </c>
    </row>
    <row r="85" spans="1:4" x14ac:dyDescent="0.25">
      <c r="A85" s="8" t="s">
        <v>8</v>
      </c>
      <c r="B85" s="27" t="s">
        <v>70</v>
      </c>
      <c r="C85" s="20">
        <f>TRUNC(((7/30)/12)*95%,4)</f>
        <v>1.84E-2</v>
      </c>
      <c r="D85" s="14">
        <f>TRUNC($D$33*C85,2)</f>
        <v>241.85</v>
      </c>
    </row>
    <row r="86" spans="1:4" ht="25.5" x14ac:dyDescent="0.25">
      <c r="A86" s="8" t="s">
        <v>31</v>
      </c>
      <c r="B86" s="27" t="s">
        <v>71</v>
      </c>
      <c r="C86" s="20">
        <f>C57</f>
        <v>0.36800000000000005</v>
      </c>
      <c r="D86" s="14">
        <f>TRUNC(D85*C86,2)</f>
        <v>89</v>
      </c>
    </row>
    <row r="87" spans="1:4" x14ac:dyDescent="0.25">
      <c r="A87" s="8" t="s">
        <v>51</v>
      </c>
      <c r="B87" s="27" t="s">
        <v>72</v>
      </c>
      <c r="C87" s="20">
        <f>TRUNC(8%*95%*40%,4)</f>
        <v>3.04E-2</v>
      </c>
      <c r="D87" s="14">
        <f>TRUNC($D$33*C87,2)</f>
        <v>399.59</v>
      </c>
    </row>
    <row r="88" spans="1:4" ht="12.75" customHeight="1" x14ac:dyDescent="0.25">
      <c r="A88" s="110" t="s">
        <v>35</v>
      </c>
      <c r="B88" s="110"/>
      <c r="C88" s="110"/>
      <c r="D88" s="19">
        <f>SUM(D82:D87)</f>
        <v>809.67</v>
      </c>
    </row>
    <row r="91" spans="1:4" x14ac:dyDescent="0.25">
      <c r="A91" s="105" t="s">
        <v>73</v>
      </c>
      <c r="B91" s="105"/>
      <c r="C91" s="105"/>
      <c r="D91" s="105"/>
    </row>
    <row r="94" spans="1:4" x14ac:dyDescent="0.25">
      <c r="A94" s="112" t="s">
        <v>74</v>
      </c>
      <c r="B94" s="112"/>
      <c r="C94" s="112"/>
      <c r="D94" s="112"/>
    </row>
    <row r="95" spans="1:4" x14ac:dyDescent="0.25">
      <c r="A95" s="16"/>
    </row>
    <row r="96" spans="1:4" ht="12.75" customHeight="1" x14ac:dyDescent="0.25">
      <c r="A96" s="12" t="s">
        <v>75</v>
      </c>
      <c r="B96" s="114" t="s">
        <v>76</v>
      </c>
      <c r="C96" s="114"/>
      <c r="D96" s="12" t="s">
        <v>26</v>
      </c>
    </row>
    <row r="97" spans="1:6" x14ac:dyDescent="0.25">
      <c r="A97" s="8" t="s">
        <v>2</v>
      </c>
      <c r="B97" s="13" t="s">
        <v>77</v>
      </c>
      <c r="C97" s="20">
        <f>TRUNC(((1+1/3)/12)/12,4)</f>
        <v>9.1999999999999998E-3</v>
      </c>
      <c r="D97" s="14">
        <f t="shared" ref="D97:D102" si="1">TRUNC(($D$33+$D$76+$D$88)*C97,2)</f>
        <v>205.04</v>
      </c>
    </row>
    <row r="98" spans="1:6" x14ac:dyDescent="0.25">
      <c r="A98" s="8" t="s">
        <v>4</v>
      </c>
      <c r="B98" s="13" t="s">
        <v>78</v>
      </c>
      <c r="C98" s="20">
        <f>TRUNC(((2/30)/12),4)</f>
        <v>5.4999999999999997E-3</v>
      </c>
      <c r="D98" s="14">
        <f t="shared" si="1"/>
        <v>122.57</v>
      </c>
    </row>
    <row r="99" spans="1:6" x14ac:dyDescent="0.25">
      <c r="A99" s="8" t="s">
        <v>6</v>
      </c>
      <c r="B99" s="13" t="s">
        <v>79</v>
      </c>
      <c r="C99" s="20">
        <f>TRUNC(((5/30)/12)*2%,4)</f>
        <v>2.0000000000000001E-4</v>
      </c>
      <c r="D99" s="14">
        <f t="shared" si="1"/>
        <v>4.45</v>
      </c>
    </row>
    <row r="100" spans="1:6" x14ac:dyDescent="0.25">
      <c r="A100" s="8" t="s">
        <v>8</v>
      </c>
      <c r="B100" s="13" t="s">
        <v>80</v>
      </c>
      <c r="C100" s="20">
        <f>TRUNC(((15/30)/12)*8%,4)</f>
        <v>3.3E-3</v>
      </c>
      <c r="D100" s="14">
        <f t="shared" si="1"/>
        <v>73.540000000000006</v>
      </c>
    </row>
    <row r="101" spans="1:6" x14ac:dyDescent="0.25">
      <c r="A101" s="8" t="s">
        <v>31</v>
      </c>
      <c r="B101" s="13" t="s">
        <v>81</v>
      </c>
      <c r="C101" s="20">
        <f>((1+1/3)/12)*3%*(4/12)</f>
        <v>1.1111111111111109E-3</v>
      </c>
      <c r="D101" s="14">
        <f t="shared" si="1"/>
        <v>24.76</v>
      </c>
    </row>
    <row r="102" spans="1:6" x14ac:dyDescent="0.25">
      <c r="A102" s="8" t="s">
        <v>51</v>
      </c>
      <c r="B102" s="13" t="s">
        <v>82</v>
      </c>
      <c r="C102" s="20"/>
      <c r="D102" s="14">
        <f t="shared" si="1"/>
        <v>0</v>
      </c>
    </row>
    <row r="103" spans="1:6" ht="12.75" customHeight="1" x14ac:dyDescent="0.25">
      <c r="A103" s="110" t="s">
        <v>56</v>
      </c>
      <c r="B103" s="110"/>
      <c r="C103" s="110"/>
      <c r="D103" s="19">
        <f>SUM(D97:D102)</f>
        <v>430.36</v>
      </c>
      <c r="E103" s="26"/>
      <c r="F103" s="26"/>
    </row>
    <row r="106" spans="1:6" x14ac:dyDescent="0.25">
      <c r="A106" s="112" t="s">
        <v>83</v>
      </c>
      <c r="B106" s="112"/>
      <c r="C106" s="112"/>
      <c r="D106" s="112"/>
    </row>
    <row r="107" spans="1:6" x14ac:dyDescent="0.25">
      <c r="A107" s="16"/>
    </row>
    <row r="108" spans="1:6" ht="12.75" customHeight="1" x14ac:dyDescent="0.25">
      <c r="A108" s="12" t="s">
        <v>84</v>
      </c>
      <c r="B108" s="114" t="s">
        <v>85</v>
      </c>
      <c r="C108" s="114"/>
      <c r="D108" s="12" t="s">
        <v>26</v>
      </c>
    </row>
    <row r="109" spans="1:6" ht="12.75" customHeight="1" x14ac:dyDescent="0.25">
      <c r="A109" s="8" t="s">
        <v>2</v>
      </c>
      <c r="B109" s="111" t="s">
        <v>86</v>
      </c>
      <c r="C109" s="111"/>
      <c r="D109" s="14">
        <f>((D33+D76+D88)/220)*22*0</f>
        <v>0</v>
      </c>
    </row>
    <row r="110" spans="1:6" ht="12.75" customHeight="1" x14ac:dyDescent="0.25">
      <c r="A110" s="110" t="s">
        <v>35</v>
      </c>
      <c r="B110" s="110"/>
      <c r="C110" s="110"/>
      <c r="D110" s="19">
        <f>SUM(D109)</f>
        <v>0</v>
      </c>
    </row>
    <row r="113" spans="1:4" x14ac:dyDescent="0.25">
      <c r="A113" s="112" t="s">
        <v>87</v>
      </c>
      <c r="B113" s="112"/>
      <c r="C113" s="112"/>
      <c r="D113" s="112"/>
    </row>
    <row r="114" spans="1:4" x14ac:dyDescent="0.25">
      <c r="A114" s="16"/>
    </row>
    <row r="115" spans="1:4" ht="12.75" customHeight="1" x14ac:dyDescent="0.25">
      <c r="A115" s="12">
        <v>4</v>
      </c>
      <c r="B115" s="110" t="s">
        <v>88</v>
      </c>
      <c r="C115" s="110"/>
      <c r="D115" s="12" t="s">
        <v>26</v>
      </c>
    </row>
    <row r="116" spans="1:4" ht="12.75" customHeight="1" x14ac:dyDescent="0.25">
      <c r="A116" s="8" t="s">
        <v>75</v>
      </c>
      <c r="B116" s="111" t="s">
        <v>76</v>
      </c>
      <c r="C116" s="111"/>
      <c r="D116" s="23">
        <f>D103</f>
        <v>430.36</v>
      </c>
    </row>
    <row r="117" spans="1:4" ht="12.75" customHeight="1" x14ac:dyDescent="0.25">
      <c r="A117" s="8" t="s">
        <v>84</v>
      </c>
      <c r="B117" s="111" t="s">
        <v>85</v>
      </c>
      <c r="C117" s="111"/>
      <c r="D117" s="23">
        <f>D110</f>
        <v>0</v>
      </c>
    </row>
    <row r="118" spans="1:4" ht="12.75" customHeight="1" x14ac:dyDescent="0.25">
      <c r="A118" s="110" t="s">
        <v>35</v>
      </c>
      <c r="B118" s="110"/>
      <c r="C118" s="110"/>
      <c r="D118" s="19">
        <f>SUM(D116:D117)</f>
        <v>430.36</v>
      </c>
    </row>
    <row r="121" spans="1:4" x14ac:dyDescent="0.25">
      <c r="A121" s="105" t="s">
        <v>89</v>
      </c>
      <c r="B121" s="105"/>
      <c r="C121" s="105"/>
      <c r="D121" s="105"/>
    </row>
    <row r="123" spans="1:4" ht="12.75" customHeight="1" x14ac:dyDescent="0.25">
      <c r="A123" s="12">
        <v>5</v>
      </c>
      <c r="B123" s="115" t="s">
        <v>90</v>
      </c>
      <c r="C123" s="115"/>
      <c r="D123" s="12" t="s">
        <v>26</v>
      </c>
    </row>
    <row r="124" spans="1:4" x14ac:dyDescent="0.25">
      <c r="A124" s="8" t="s">
        <v>2</v>
      </c>
      <c r="B124" s="13" t="s">
        <v>91</v>
      </c>
      <c r="C124" s="13"/>
      <c r="D124" s="14">
        <v>66.040000000000006</v>
      </c>
    </row>
    <row r="125" spans="1:4" x14ac:dyDescent="0.25">
      <c r="A125" s="8" t="s">
        <v>4</v>
      </c>
      <c r="B125" s="13" t="s">
        <v>92</v>
      </c>
      <c r="C125" s="13"/>
      <c r="D125" s="14">
        <v>61.36</v>
      </c>
    </row>
    <row r="126" spans="1:4" x14ac:dyDescent="0.25">
      <c r="A126" s="8" t="s">
        <v>6</v>
      </c>
      <c r="B126" s="13" t="s">
        <v>93</v>
      </c>
      <c r="C126" s="13"/>
      <c r="D126" s="14">
        <v>40.22</v>
      </c>
    </row>
    <row r="127" spans="1:4" x14ac:dyDescent="0.25">
      <c r="A127" s="8" t="s">
        <v>8</v>
      </c>
      <c r="B127" s="13" t="s">
        <v>34</v>
      </c>
      <c r="C127" s="13"/>
      <c r="D127" s="14"/>
    </row>
    <row r="128" spans="1:4" ht="12.75" customHeight="1" x14ac:dyDescent="0.25">
      <c r="A128" s="110" t="s">
        <v>56</v>
      </c>
      <c r="B128" s="110"/>
      <c r="C128" s="110"/>
      <c r="D128" s="15">
        <f>SUM(D124:D127)</f>
        <v>167.62</v>
      </c>
    </row>
    <row r="131" spans="1:4" x14ac:dyDescent="0.25">
      <c r="A131" s="105" t="s">
        <v>94</v>
      </c>
      <c r="B131" s="105"/>
      <c r="C131" s="105"/>
      <c r="D131" s="105"/>
    </row>
    <row r="133" spans="1:4" x14ac:dyDescent="0.25">
      <c r="A133" s="12">
        <v>6</v>
      </c>
      <c r="B133" s="28" t="s">
        <v>95</v>
      </c>
      <c r="C133" s="12" t="s">
        <v>45</v>
      </c>
      <c r="D133" s="12" t="s">
        <v>26</v>
      </c>
    </row>
    <row r="134" spans="1:4" x14ac:dyDescent="0.25">
      <c r="A134" s="8" t="s">
        <v>2</v>
      </c>
      <c r="B134" s="13" t="s">
        <v>96</v>
      </c>
      <c r="C134" s="20">
        <v>0.05</v>
      </c>
      <c r="D134" s="23">
        <f>D154*C134</f>
        <v>1144.25</v>
      </c>
    </row>
    <row r="135" spans="1:4" x14ac:dyDescent="0.25">
      <c r="A135" s="8" t="s">
        <v>4</v>
      </c>
      <c r="B135" s="13" t="s">
        <v>97</v>
      </c>
      <c r="C135" s="20">
        <v>0.06</v>
      </c>
      <c r="D135" s="14">
        <f>(D154+D134)*C135</f>
        <v>1441.7549999999999</v>
      </c>
    </row>
    <row r="136" spans="1:4" x14ac:dyDescent="0.25">
      <c r="A136" s="8" t="s">
        <v>6</v>
      </c>
      <c r="B136" s="13" t="s">
        <v>98</v>
      </c>
      <c r="C136" s="17">
        <f>SUM(C137:C142)</f>
        <v>8.6499999999999994E-2</v>
      </c>
      <c r="D136" s="14">
        <f>(D154+D134+D135)*C136/(1-C136)</f>
        <v>2411.868563218391</v>
      </c>
    </row>
    <row r="137" spans="1:4" x14ac:dyDescent="0.25">
      <c r="A137" s="8"/>
      <c r="B137" s="13" t="s">
        <v>99</v>
      </c>
      <c r="C137" s="20"/>
      <c r="D137" s="23">
        <f t="shared" ref="D137:D142" si="2">$D$156*C137</f>
        <v>0</v>
      </c>
    </row>
    <row r="138" spans="1:4" x14ac:dyDescent="0.25">
      <c r="A138" s="8"/>
      <c r="B138" s="13" t="s">
        <v>100</v>
      </c>
      <c r="C138" s="20">
        <v>6.4999999999999997E-3</v>
      </c>
      <c r="D138" s="23">
        <f t="shared" si="2"/>
        <v>181.23867816091951</v>
      </c>
    </row>
    <row r="139" spans="1:4" x14ac:dyDescent="0.25">
      <c r="A139" s="8"/>
      <c r="B139" s="13" t="s">
        <v>101</v>
      </c>
      <c r="C139" s="20">
        <v>0.03</v>
      </c>
      <c r="D139" s="23">
        <f t="shared" si="2"/>
        <v>836.48620689655161</v>
      </c>
    </row>
    <row r="140" spans="1:4" x14ac:dyDescent="0.25">
      <c r="A140" s="8"/>
      <c r="B140" s="13" t="s">
        <v>102</v>
      </c>
      <c r="C140" s="8"/>
      <c r="D140" s="23">
        <f t="shared" si="2"/>
        <v>0</v>
      </c>
    </row>
    <row r="141" spans="1:4" x14ac:dyDescent="0.25">
      <c r="A141" s="8"/>
      <c r="B141" s="13" t="s">
        <v>103</v>
      </c>
      <c r="C141" s="20"/>
      <c r="D141" s="23">
        <f t="shared" si="2"/>
        <v>0</v>
      </c>
    </row>
    <row r="142" spans="1:4" x14ac:dyDescent="0.25">
      <c r="A142" s="8"/>
      <c r="B142" s="13" t="s">
        <v>104</v>
      </c>
      <c r="C142" s="20">
        <v>0.05</v>
      </c>
      <c r="D142" s="23">
        <f t="shared" si="2"/>
        <v>1394.1436781609195</v>
      </c>
    </row>
    <row r="143" spans="1:4" ht="13.5" customHeight="1" x14ac:dyDescent="0.25">
      <c r="A143" s="116" t="s">
        <v>56</v>
      </c>
      <c r="B143" s="116"/>
      <c r="C143" s="29">
        <f>ROUND((1+C135)*(1+C134)/(1-C136)-1,4)</f>
        <v>0.21840000000000001</v>
      </c>
      <c r="D143" s="19">
        <f>SUM(D134:D136)</f>
        <v>4997.8735632183907</v>
      </c>
    </row>
    <row r="146" spans="1:4" x14ac:dyDescent="0.25">
      <c r="A146" s="105" t="s">
        <v>105</v>
      </c>
      <c r="B146" s="105"/>
      <c r="C146" s="105"/>
      <c r="D146" s="105"/>
    </row>
    <row r="148" spans="1:4" ht="12.75" customHeight="1" x14ac:dyDescent="0.25">
      <c r="A148" s="12"/>
      <c r="B148" s="110" t="s">
        <v>106</v>
      </c>
      <c r="C148" s="110"/>
      <c r="D148" s="12" t="s">
        <v>26</v>
      </c>
    </row>
    <row r="149" spans="1:4" ht="12.75" customHeight="1" x14ac:dyDescent="0.25">
      <c r="A149" s="12" t="s">
        <v>2</v>
      </c>
      <c r="B149" s="111" t="s">
        <v>24</v>
      </c>
      <c r="C149" s="111"/>
      <c r="D149" s="30">
        <f>D33</f>
        <v>13144.560000000001</v>
      </c>
    </row>
    <row r="150" spans="1:4" ht="12.75" customHeight="1" x14ac:dyDescent="0.25">
      <c r="A150" s="12" t="s">
        <v>4</v>
      </c>
      <c r="B150" s="111" t="s">
        <v>36</v>
      </c>
      <c r="C150" s="111"/>
      <c r="D150" s="30">
        <f>D76</f>
        <v>8332.7900000000009</v>
      </c>
    </row>
    <row r="151" spans="1:4" ht="12.75" customHeight="1" x14ac:dyDescent="0.25">
      <c r="A151" s="12" t="s">
        <v>6</v>
      </c>
      <c r="B151" s="111" t="s">
        <v>65</v>
      </c>
      <c r="C151" s="111"/>
      <c r="D151" s="30">
        <f>D88</f>
        <v>809.67</v>
      </c>
    </row>
    <row r="152" spans="1:4" ht="12.75" customHeight="1" x14ac:dyDescent="0.25">
      <c r="A152" s="12" t="s">
        <v>8</v>
      </c>
      <c r="B152" s="111" t="s">
        <v>73</v>
      </c>
      <c r="C152" s="111"/>
      <c r="D152" s="30">
        <f>D118</f>
        <v>430.36</v>
      </c>
    </row>
    <row r="153" spans="1:4" ht="12.75" customHeight="1" x14ac:dyDescent="0.25">
      <c r="A153" s="12" t="s">
        <v>31</v>
      </c>
      <c r="B153" s="111" t="s">
        <v>89</v>
      </c>
      <c r="C153" s="111"/>
      <c r="D153" s="30">
        <f>D128</f>
        <v>167.62</v>
      </c>
    </row>
    <row r="154" spans="1:4" ht="12.75" customHeight="1" x14ac:dyDescent="0.25">
      <c r="A154" s="110" t="s">
        <v>107</v>
      </c>
      <c r="B154" s="110"/>
      <c r="C154" s="110"/>
      <c r="D154" s="31">
        <f>SUM(D149:D153)</f>
        <v>22885</v>
      </c>
    </row>
    <row r="155" spans="1:4" ht="12.75" customHeight="1" x14ac:dyDescent="0.25">
      <c r="A155" s="12" t="s">
        <v>51</v>
      </c>
      <c r="B155" s="111" t="s">
        <v>108</v>
      </c>
      <c r="C155" s="111"/>
      <c r="D155" s="32">
        <f>D143</f>
        <v>4997.8735632183907</v>
      </c>
    </row>
    <row r="156" spans="1:4" ht="12.75" customHeight="1" x14ac:dyDescent="0.25">
      <c r="A156" s="110" t="s">
        <v>109</v>
      </c>
      <c r="B156" s="110"/>
      <c r="C156" s="110"/>
      <c r="D156" s="31">
        <f>SUM(D154:D155)</f>
        <v>27882.873563218389</v>
      </c>
    </row>
  </sheetData>
  <mergeCells count="71">
    <mergeCell ref="A156:C156"/>
    <mergeCell ref="B151:C151"/>
    <mergeCell ref="B152:C152"/>
    <mergeCell ref="B153:C153"/>
    <mergeCell ref="A154:C154"/>
    <mergeCell ref="B155:C155"/>
    <mergeCell ref="A143:B143"/>
    <mergeCell ref="A146:D146"/>
    <mergeCell ref="B148:C148"/>
    <mergeCell ref="B149:C149"/>
    <mergeCell ref="B150:C150"/>
    <mergeCell ref="A118:C118"/>
    <mergeCell ref="A121:D121"/>
    <mergeCell ref="B123:C123"/>
    <mergeCell ref="A128:C128"/>
    <mergeCell ref="A131:D131"/>
    <mergeCell ref="A110:C110"/>
    <mergeCell ref="A113:D113"/>
    <mergeCell ref="B115:C115"/>
    <mergeCell ref="B116:C116"/>
    <mergeCell ref="B117:C117"/>
    <mergeCell ref="B96:C96"/>
    <mergeCell ref="A103:C103"/>
    <mergeCell ref="A106:D106"/>
    <mergeCell ref="B108:C108"/>
    <mergeCell ref="B109:C109"/>
    <mergeCell ref="A79:D79"/>
    <mergeCell ref="B81:C81"/>
    <mergeCell ref="A88:C88"/>
    <mergeCell ref="A91:D91"/>
    <mergeCell ref="A94:D94"/>
    <mergeCell ref="B72:C72"/>
    <mergeCell ref="B73:C73"/>
    <mergeCell ref="B74:C74"/>
    <mergeCell ref="B75:C75"/>
    <mergeCell ref="A76:C76"/>
    <mergeCell ref="B64:C64"/>
    <mergeCell ref="B65:C65"/>
    <mergeCell ref="B66:C66"/>
    <mergeCell ref="A67:C67"/>
    <mergeCell ref="A70:D70"/>
    <mergeCell ref="A46:D46"/>
    <mergeCell ref="A57:B57"/>
    <mergeCell ref="A60:D60"/>
    <mergeCell ref="B62:C62"/>
    <mergeCell ref="B63:C63"/>
    <mergeCell ref="A33:C33"/>
    <mergeCell ref="A36:D36"/>
    <mergeCell ref="A38:D38"/>
    <mergeCell ref="B40:C40"/>
    <mergeCell ref="A43:B43"/>
    <mergeCell ref="B28:C28"/>
    <mergeCell ref="B29:C29"/>
    <mergeCell ref="B30:C30"/>
    <mergeCell ref="B31:C31"/>
    <mergeCell ref="B32:C32"/>
    <mergeCell ref="C21:D21"/>
    <mergeCell ref="A23:D23"/>
    <mergeCell ref="B25:C25"/>
    <mergeCell ref="B26:C26"/>
    <mergeCell ref="B27:C27"/>
    <mergeCell ref="A15:D15"/>
    <mergeCell ref="C17:D17"/>
    <mergeCell ref="C18:D18"/>
    <mergeCell ref="C19:D19"/>
    <mergeCell ref="C20:D20"/>
    <mergeCell ref="A1:D1"/>
    <mergeCell ref="A3:D3"/>
    <mergeCell ref="A10:D10"/>
    <mergeCell ref="A12:B12"/>
    <mergeCell ref="A13:B13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6"/>
  <sheetViews>
    <sheetView topLeftCell="A106" zoomScale="115" zoomScaleNormal="115" workbookViewId="0">
      <selection activeCell="D127" sqref="D127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104" t="s">
        <v>0</v>
      </c>
      <c r="B1" s="104"/>
      <c r="C1" s="104"/>
      <c r="D1" s="104"/>
    </row>
    <row r="2" spans="1:4" ht="15.75" x14ac:dyDescent="0.25">
      <c r="A2" s="2"/>
      <c r="B2" s="2"/>
      <c r="C2" s="2"/>
      <c r="D2" s="2"/>
    </row>
    <row r="3" spans="1:4" x14ac:dyDescent="0.25">
      <c r="A3" s="105" t="s">
        <v>1</v>
      </c>
      <c r="B3" s="105"/>
      <c r="C3" s="105"/>
      <c r="D3" s="105"/>
    </row>
    <row r="4" spans="1:4" x14ac:dyDescent="0.25">
      <c r="A4" s="3"/>
      <c r="B4" s="3"/>
      <c r="C4" s="3"/>
      <c r="D4" s="3"/>
    </row>
    <row r="5" spans="1:4" x14ac:dyDescent="0.25">
      <c r="A5" s="4" t="s">
        <v>2</v>
      </c>
      <c r="B5" s="5" t="s">
        <v>3</v>
      </c>
      <c r="C5" s="6"/>
      <c r="D5" s="7"/>
    </row>
    <row r="6" spans="1:4" x14ac:dyDescent="0.25">
      <c r="A6" s="4" t="s">
        <v>4</v>
      </c>
      <c r="B6" s="5" t="s">
        <v>5</v>
      </c>
      <c r="C6" s="6"/>
      <c r="D6" s="7"/>
    </row>
    <row r="7" spans="1:4" x14ac:dyDescent="0.25">
      <c r="A7" s="4" t="s">
        <v>6</v>
      </c>
      <c r="B7" s="5" t="s">
        <v>7</v>
      </c>
      <c r="C7" s="6"/>
      <c r="D7" s="7"/>
    </row>
    <row r="8" spans="1:4" x14ac:dyDescent="0.25">
      <c r="A8" s="4" t="s">
        <v>8</v>
      </c>
      <c r="B8" s="5" t="s">
        <v>9</v>
      </c>
      <c r="C8" s="6"/>
      <c r="D8" s="7">
        <v>24</v>
      </c>
    </row>
    <row r="10" spans="1:4" x14ac:dyDescent="0.25">
      <c r="A10" s="105" t="s">
        <v>10</v>
      </c>
      <c r="B10" s="105"/>
      <c r="C10" s="105"/>
      <c r="D10" s="105"/>
    </row>
    <row r="11" spans="1:4" x14ac:dyDescent="0.25">
      <c r="A11" s="3"/>
      <c r="B11" s="3"/>
      <c r="C11" s="3"/>
      <c r="D11" s="3"/>
    </row>
    <row r="12" spans="1:4" ht="38.25" customHeight="1" x14ac:dyDescent="0.25">
      <c r="A12" s="106" t="s">
        <v>11</v>
      </c>
      <c r="B12" s="106"/>
      <c r="C12" s="8" t="s">
        <v>12</v>
      </c>
      <c r="D12" s="9" t="s">
        <v>13</v>
      </c>
    </row>
    <row r="13" spans="1:4" s="11" customFormat="1" ht="12.75" x14ac:dyDescent="0.2">
      <c r="A13" s="107" t="s">
        <v>187</v>
      </c>
      <c r="B13" s="107"/>
      <c r="C13" s="10" t="s">
        <v>15</v>
      </c>
      <c r="D13" s="10">
        <v>1</v>
      </c>
    </row>
    <row r="15" spans="1:4" x14ac:dyDescent="0.25">
      <c r="A15" s="105" t="s">
        <v>16</v>
      </c>
      <c r="B15" s="105"/>
      <c r="C15" s="105"/>
      <c r="D15" s="105"/>
    </row>
    <row r="16" spans="1:4" x14ac:dyDescent="0.25">
      <c r="A16" s="3"/>
      <c r="B16" s="3"/>
      <c r="C16" s="3"/>
      <c r="D16" s="3"/>
    </row>
    <row r="17" spans="1:4" x14ac:dyDescent="0.25">
      <c r="A17" s="4">
        <v>1</v>
      </c>
      <c r="B17" s="4" t="s">
        <v>17</v>
      </c>
      <c r="C17" s="108" t="s">
        <v>190</v>
      </c>
      <c r="D17" s="108"/>
    </row>
    <row r="18" spans="1:4" x14ac:dyDescent="0.25">
      <c r="A18" s="4">
        <v>2</v>
      </c>
      <c r="B18" s="4" t="s">
        <v>19</v>
      </c>
      <c r="C18" s="108" t="s">
        <v>127</v>
      </c>
      <c r="D18" s="108"/>
    </row>
    <row r="19" spans="1:4" x14ac:dyDescent="0.25">
      <c r="A19" s="4">
        <v>3</v>
      </c>
      <c r="B19" s="4" t="s">
        <v>21</v>
      </c>
      <c r="C19" s="108">
        <v>2229.58</v>
      </c>
      <c r="D19" s="108"/>
    </row>
    <row r="20" spans="1:4" x14ac:dyDescent="0.25">
      <c r="A20" s="4">
        <v>4</v>
      </c>
      <c r="B20" s="4" t="s">
        <v>22</v>
      </c>
      <c r="C20" s="108" t="s">
        <v>196</v>
      </c>
      <c r="D20" s="108"/>
    </row>
    <row r="21" spans="1:4" x14ac:dyDescent="0.25">
      <c r="A21" s="4">
        <v>5</v>
      </c>
      <c r="B21" s="4" t="s">
        <v>23</v>
      </c>
      <c r="C21" s="108"/>
      <c r="D21" s="108"/>
    </row>
    <row r="23" spans="1:4" x14ac:dyDescent="0.25">
      <c r="A23" s="105" t="s">
        <v>24</v>
      </c>
      <c r="B23" s="105"/>
      <c r="C23" s="105"/>
      <c r="D23" s="105"/>
    </row>
    <row r="25" spans="1:4" ht="12.75" customHeight="1" x14ac:dyDescent="0.25">
      <c r="A25" s="12">
        <v>1</v>
      </c>
      <c r="B25" s="110" t="s">
        <v>25</v>
      </c>
      <c r="C25" s="110"/>
      <c r="D25" s="12" t="s">
        <v>26</v>
      </c>
    </row>
    <row r="26" spans="1:4" ht="12.75" customHeight="1" x14ac:dyDescent="0.25">
      <c r="A26" s="8" t="s">
        <v>2</v>
      </c>
      <c r="B26" s="111" t="s">
        <v>27</v>
      </c>
      <c r="C26" s="111"/>
      <c r="D26" s="14">
        <v>2229.58</v>
      </c>
    </row>
    <row r="27" spans="1:4" ht="12.75" customHeight="1" x14ac:dyDescent="0.25">
      <c r="A27" s="8" t="s">
        <v>4</v>
      </c>
      <c r="B27" s="111" t="s">
        <v>28</v>
      </c>
      <c r="C27" s="111"/>
      <c r="D27" s="14">
        <f>D26*0.3</f>
        <v>668.87399999999991</v>
      </c>
    </row>
    <row r="28" spans="1:4" ht="12.75" customHeight="1" x14ac:dyDescent="0.25">
      <c r="A28" s="8" t="s">
        <v>6</v>
      </c>
      <c r="B28" s="111" t="s">
        <v>29</v>
      </c>
      <c r="C28" s="111"/>
      <c r="D28" s="14"/>
    </row>
    <row r="29" spans="1:4" ht="12.75" customHeight="1" x14ac:dyDescent="0.25">
      <c r="A29" s="8" t="s">
        <v>8</v>
      </c>
      <c r="B29" s="111" t="s">
        <v>30</v>
      </c>
      <c r="C29" s="111"/>
      <c r="D29" s="14"/>
    </row>
    <row r="30" spans="1:4" ht="12.75" customHeight="1" x14ac:dyDescent="0.25">
      <c r="A30" s="8" t="s">
        <v>31</v>
      </c>
      <c r="B30" s="111" t="s">
        <v>32</v>
      </c>
      <c r="C30" s="111"/>
      <c r="D30" s="14"/>
    </row>
    <row r="31" spans="1:4" x14ac:dyDescent="0.25">
      <c r="A31" s="8"/>
      <c r="B31" s="111"/>
      <c r="C31" s="111"/>
      <c r="D31" s="14"/>
    </row>
    <row r="32" spans="1:4" ht="12.75" customHeight="1" x14ac:dyDescent="0.25">
      <c r="A32" s="8" t="s">
        <v>33</v>
      </c>
      <c r="B32" s="111" t="s">
        <v>34</v>
      </c>
      <c r="C32" s="111"/>
      <c r="D32" s="14"/>
    </row>
    <row r="33" spans="1:4" ht="12.75" customHeight="1" x14ac:dyDescent="0.25">
      <c r="A33" s="110" t="s">
        <v>35</v>
      </c>
      <c r="B33" s="110"/>
      <c r="C33" s="110"/>
      <c r="D33" s="15">
        <f>SUM(D26:D32)</f>
        <v>2898.4539999999997</v>
      </c>
    </row>
    <row r="36" spans="1:4" x14ac:dyDescent="0.25">
      <c r="A36" s="105" t="s">
        <v>36</v>
      </c>
      <c r="B36" s="105"/>
      <c r="C36" s="105"/>
      <c r="D36" s="105"/>
    </row>
    <row r="37" spans="1:4" x14ac:dyDescent="0.25">
      <c r="A37" s="16"/>
    </row>
    <row r="38" spans="1:4" x14ac:dyDescent="0.25">
      <c r="A38" s="112" t="s">
        <v>37</v>
      </c>
      <c r="B38" s="112"/>
      <c r="C38" s="112"/>
      <c r="D38" s="112"/>
    </row>
    <row r="40" spans="1:4" ht="12.75" customHeight="1" x14ac:dyDescent="0.25">
      <c r="A40" s="12" t="s">
        <v>38</v>
      </c>
      <c r="B40" s="110" t="s">
        <v>39</v>
      </c>
      <c r="C40" s="110"/>
      <c r="D40" s="12" t="s">
        <v>26</v>
      </c>
    </row>
    <row r="41" spans="1:4" x14ac:dyDescent="0.25">
      <c r="A41" s="8" t="s">
        <v>2</v>
      </c>
      <c r="B41" s="13" t="s">
        <v>40</v>
      </c>
      <c r="C41" s="17">
        <f>TRUNC(1/12,4)</f>
        <v>8.3299999999999999E-2</v>
      </c>
      <c r="D41" s="14">
        <f>TRUNC($D$33*C41,2)</f>
        <v>241.44</v>
      </c>
    </row>
    <row r="42" spans="1:4" x14ac:dyDescent="0.25">
      <c r="A42" s="8" t="s">
        <v>4</v>
      </c>
      <c r="B42" s="13" t="s">
        <v>41</v>
      </c>
      <c r="C42" s="17">
        <f>TRUNC(((1+1/3)/12),4)</f>
        <v>0.1111</v>
      </c>
      <c r="D42" s="14">
        <f>TRUNC($D$33*C42,2)</f>
        <v>322.01</v>
      </c>
    </row>
    <row r="43" spans="1:4" ht="12.75" customHeight="1" x14ac:dyDescent="0.25">
      <c r="A43" s="110" t="s">
        <v>35</v>
      </c>
      <c r="B43" s="110"/>
      <c r="C43" s="18">
        <f>SUM(C41:C42)</f>
        <v>0.19440000000000002</v>
      </c>
      <c r="D43" s="19">
        <f>SUM(D41:D42)</f>
        <v>563.45000000000005</v>
      </c>
    </row>
    <row r="46" spans="1:4" ht="12.75" customHeight="1" x14ac:dyDescent="0.25">
      <c r="A46" s="113" t="s">
        <v>42</v>
      </c>
      <c r="B46" s="113"/>
      <c r="C46" s="113"/>
      <c r="D46" s="113"/>
    </row>
    <row r="48" spans="1:4" x14ac:dyDescent="0.25">
      <c r="A48" s="12" t="s">
        <v>43</v>
      </c>
      <c r="B48" s="12" t="s">
        <v>44</v>
      </c>
      <c r="C48" s="12" t="s">
        <v>45</v>
      </c>
      <c r="D48" s="12" t="s">
        <v>26</v>
      </c>
    </row>
    <row r="49" spans="1:4" x14ac:dyDescent="0.25">
      <c r="A49" s="8" t="s">
        <v>2</v>
      </c>
      <c r="B49" s="13" t="s">
        <v>46</v>
      </c>
      <c r="C49" s="20">
        <v>0.2</v>
      </c>
      <c r="D49" s="14">
        <f t="shared" ref="D49:D56" si="0">TRUNC(($D$33+$D$43)*C49,2)</f>
        <v>692.38</v>
      </c>
    </row>
    <row r="50" spans="1:4" x14ac:dyDescent="0.25">
      <c r="A50" s="8" t="s">
        <v>4</v>
      </c>
      <c r="B50" s="13" t="s">
        <v>47</v>
      </c>
      <c r="C50" s="20">
        <v>2.5000000000000001E-2</v>
      </c>
      <c r="D50" s="14">
        <f t="shared" si="0"/>
        <v>86.54</v>
      </c>
    </row>
    <row r="51" spans="1:4" x14ac:dyDescent="0.25">
      <c r="A51" s="8" t="s">
        <v>6</v>
      </c>
      <c r="B51" s="13" t="s">
        <v>48</v>
      </c>
      <c r="C51" s="21">
        <v>0.03</v>
      </c>
      <c r="D51" s="14">
        <f t="shared" si="0"/>
        <v>103.85</v>
      </c>
    </row>
    <row r="52" spans="1:4" x14ac:dyDescent="0.25">
      <c r="A52" s="8" t="s">
        <v>8</v>
      </c>
      <c r="B52" s="13" t="s">
        <v>49</v>
      </c>
      <c r="C52" s="20">
        <v>1.4999999999999999E-2</v>
      </c>
      <c r="D52" s="14">
        <f t="shared" si="0"/>
        <v>51.92</v>
      </c>
    </row>
    <row r="53" spans="1:4" x14ac:dyDescent="0.25">
      <c r="A53" s="8" t="s">
        <v>31</v>
      </c>
      <c r="B53" s="13" t="s">
        <v>50</v>
      </c>
      <c r="C53" s="20">
        <v>0.01</v>
      </c>
      <c r="D53" s="14">
        <f t="shared" si="0"/>
        <v>34.61</v>
      </c>
    </row>
    <row r="54" spans="1:4" x14ac:dyDescent="0.25">
      <c r="A54" s="8" t="s">
        <v>51</v>
      </c>
      <c r="B54" s="13" t="s">
        <v>52</v>
      </c>
      <c r="C54" s="20">
        <v>6.0000000000000001E-3</v>
      </c>
      <c r="D54" s="14">
        <f t="shared" si="0"/>
        <v>20.77</v>
      </c>
    </row>
    <row r="55" spans="1:4" x14ac:dyDescent="0.25">
      <c r="A55" s="8" t="s">
        <v>33</v>
      </c>
      <c r="B55" s="13" t="s">
        <v>53</v>
      </c>
      <c r="C55" s="20">
        <v>2E-3</v>
      </c>
      <c r="D55" s="14">
        <f t="shared" si="0"/>
        <v>6.92</v>
      </c>
    </row>
    <row r="56" spans="1:4" x14ac:dyDescent="0.25">
      <c r="A56" s="8" t="s">
        <v>54</v>
      </c>
      <c r="B56" s="13" t="s">
        <v>55</v>
      </c>
      <c r="C56" s="20">
        <v>0.08</v>
      </c>
      <c r="D56" s="14">
        <f t="shared" si="0"/>
        <v>276.95</v>
      </c>
    </row>
    <row r="57" spans="1:4" ht="12.75" customHeight="1" x14ac:dyDescent="0.25">
      <c r="A57" s="110" t="s">
        <v>56</v>
      </c>
      <c r="B57" s="110"/>
      <c r="C57" s="22">
        <f>SUM(C49:C56)</f>
        <v>0.36800000000000005</v>
      </c>
      <c r="D57" s="19">
        <f>SUM(D49:D56)</f>
        <v>1273.9399999999998</v>
      </c>
    </row>
    <row r="60" spans="1:4" x14ac:dyDescent="0.25">
      <c r="A60" s="112" t="s">
        <v>57</v>
      </c>
      <c r="B60" s="112"/>
      <c r="C60" s="112"/>
      <c r="D60" s="112"/>
    </row>
    <row r="62" spans="1:4" ht="12.75" customHeight="1" x14ac:dyDescent="0.25">
      <c r="A62" s="12" t="s">
        <v>58</v>
      </c>
      <c r="B62" s="114" t="s">
        <v>59</v>
      </c>
      <c r="C62" s="114"/>
      <c r="D62" s="12" t="s">
        <v>26</v>
      </c>
    </row>
    <row r="63" spans="1:4" ht="12.75" customHeight="1" x14ac:dyDescent="0.25">
      <c r="A63" s="8" t="s">
        <v>2</v>
      </c>
      <c r="B63" s="111" t="s">
        <v>60</v>
      </c>
      <c r="C63" s="111"/>
      <c r="D63" s="14">
        <f>IF((15*2*4.9)&gt;(D26*0.06),(15*2*4.9)-(D26*0.06),0)</f>
        <v>13.225200000000001</v>
      </c>
    </row>
    <row r="64" spans="1:4" ht="12.75" customHeight="1" x14ac:dyDescent="0.25">
      <c r="A64" s="8" t="s">
        <v>4</v>
      </c>
      <c r="B64" s="111" t="s">
        <v>61</v>
      </c>
      <c r="C64" s="111"/>
      <c r="D64" s="14">
        <f>15*20.49</f>
        <v>307.34999999999997</v>
      </c>
    </row>
    <row r="65" spans="1:5" ht="12.75" customHeight="1" x14ac:dyDescent="0.25">
      <c r="A65" s="8" t="s">
        <v>6</v>
      </c>
      <c r="B65" s="111" t="s">
        <v>62</v>
      </c>
      <c r="C65" s="111"/>
      <c r="D65" s="14"/>
    </row>
    <row r="66" spans="1:5" ht="12.75" customHeight="1" x14ac:dyDescent="0.25">
      <c r="A66" s="8" t="s">
        <v>8</v>
      </c>
      <c r="B66" s="111" t="s">
        <v>34</v>
      </c>
      <c r="C66" s="111"/>
      <c r="D66" s="14"/>
    </row>
    <row r="67" spans="1:5" ht="12.75" customHeight="1" x14ac:dyDescent="0.25">
      <c r="A67" s="110" t="s">
        <v>35</v>
      </c>
      <c r="B67" s="110"/>
      <c r="C67" s="110"/>
      <c r="D67" s="19">
        <f>SUM(D63:D66)</f>
        <v>320.5752</v>
      </c>
    </row>
    <row r="70" spans="1:5" x14ac:dyDescent="0.25">
      <c r="A70" s="112" t="s">
        <v>63</v>
      </c>
      <c r="B70" s="112"/>
      <c r="C70" s="112"/>
      <c r="D70" s="112"/>
    </row>
    <row r="72" spans="1:5" ht="12.75" customHeight="1" x14ac:dyDescent="0.25">
      <c r="A72" s="12">
        <v>2</v>
      </c>
      <c r="B72" s="114" t="s">
        <v>64</v>
      </c>
      <c r="C72" s="114"/>
      <c r="D72" s="12" t="s">
        <v>26</v>
      </c>
    </row>
    <row r="73" spans="1:5" ht="12.75" customHeight="1" x14ac:dyDescent="0.25">
      <c r="A73" s="8" t="s">
        <v>38</v>
      </c>
      <c r="B73" s="111" t="s">
        <v>39</v>
      </c>
      <c r="C73" s="111"/>
      <c r="D73" s="23">
        <f>D43</f>
        <v>563.45000000000005</v>
      </c>
    </row>
    <row r="74" spans="1:5" ht="12.75" customHeight="1" x14ac:dyDescent="0.25">
      <c r="A74" s="8" t="s">
        <v>43</v>
      </c>
      <c r="B74" s="111" t="s">
        <v>44</v>
      </c>
      <c r="C74" s="111"/>
      <c r="D74" s="23">
        <f>D57</f>
        <v>1273.9399999999998</v>
      </c>
    </row>
    <row r="75" spans="1:5" ht="12.75" customHeight="1" x14ac:dyDescent="0.25">
      <c r="A75" s="8" t="s">
        <v>58</v>
      </c>
      <c r="B75" s="111" t="s">
        <v>59</v>
      </c>
      <c r="C75" s="111"/>
      <c r="D75" s="23">
        <f>D67</f>
        <v>320.5752</v>
      </c>
    </row>
    <row r="76" spans="1:5" ht="12.75" customHeight="1" x14ac:dyDescent="0.25">
      <c r="A76" s="110" t="s">
        <v>35</v>
      </c>
      <c r="B76" s="110"/>
      <c r="C76" s="110"/>
      <c r="D76" s="19">
        <f>SUM(D73:D75)</f>
        <v>2157.9651999999996</v>
      </c>
    </row>
    <row r="77" spans="1:5" x14ac:dyDescent="0.25">
      <c r="A77" s="24"/>
      <c r="E77" s="25"/>
    </row>
    <row r="79" spans="1:5" x14ac:dyDescent="0.25">
      <c r="A79" s="105" t="s">
        <v>65</v>
      </c>
      <c r="B79" s="105"/>
      <c r="C79" s="105"/>
      <c r="D79" s="105"/>
      <c r="E79" s="26"/>
    </row>
    <row r="80" spans="1:5" ht="12.75" customHeight="1" x14ac:dyDescent="0.25">
      <c r="E80" s="25"/>
    </row>
    <row r="81" spans="1:4" ht="12.75" customHeight="1" x14ac:dyDescent="0.25">
      <c r="A81" s="12">
        <v>3</v>
      </c>
      <c r="B81" s="114" t="s">
        <v>66</v>
      </c>
      <c r="C81" s="114"/>
      <c r="D81" s="12" t="s">
        <v>26</v>
      </c>
    </row>
    <row r="82" spans="1:4" x14ac:dyDescent="0.25">
      <c r="A82" s="8" t="s">
        <v>2</v>
      </c>
      <c r="B82" s="27" t="s">
        <v>67</v>
      </c>
      <c r="C82" s="20">
        <f>TRUNC(((1/12)*5%),4)</f>
        <v>4.1000000000000003E-3</v>
      </c>
      <c r="D82" s="14">
        <f>TRUNC($D$33*C82,2)</f>
        <v>11.88</v>
      </c>
    </row>
    <row r="83" spans="1:4" x14ac:dyDescent="0.25">
      <c r="A83" s="8" t="s">
        <v>4</v>
      </c>
      <c r="B83" s="27" t="s">
        <v>68</v>
      </c>
      <c r="C83" s="20">
        <v>0.08</v>
      </c>
      <c r="D83" s="14">
        <f>TRUNC(D82*C83,2)</f>
        <v>0.95</v>
      </c>
    </row>
    <row r="84" spans="1:4" x14ac:dyDescent="0.25">
      <c r="A84" s="8" t="s">
        <v>6</v>
      </c>
      <c r="B84" s="27" t="s">
        <v>69</v>
      </c>
      <c r="C84" s="20">
        <f>TRUNC(8%*5%*40%,4)</f>
        <v>1.6000000000000001E-3</v>
      </c>
      <c r="D84" s="14">
        <f>TRUNC($D$33*C84,2)</f>
        <v>4.63</v>
      </c>
    </row>
    <row r="85" spans="1:4" x14ac:dyDescent="0.25">
      <c r="A85" s="8" t="s">
        <v>8</v>
      </c>
      <c r="B85" s="27" t="s">
        <v>70</v>
      </c>
      <c r="C85" s="20">
        <f>TRUNC(((7/30)/12)*95%,4)</f>
        <v>1.84E-2</v>
      </c>
      <c r="D85" s="14">
        <f>TRUNC($D$33*C85,2)</f>
        <v>53.33</v>
      </c>
    </row>
    <row r="86" spans="1:4" ht="25.5" x14ac:dyDescent="0.25">
      <c r="A86" s="8" t="s">
        <v>31</v>
      </c>
      <c r="B86" s="27" t="s">
        <v>71</v>
      </c>
      <c r="C86" s="20">
        <f>C57</f>
        <v>0.36800000000000005</v>
      </c>
      <c r="D86" s="14">
        <f>TRUNC(D85*C86,2)</f>
        <v>19.62</v>
      </c>
    </row>
    <row r="87" spans="1:4" x14ac:dyDescent="0.25">
      <c r="A87" s="8" t="s">
        <v>51</v>
      </c>
      <c r="B87" s="27" t="s">
        <v>72</v>
      </c>
      <c r="C87" s="20">
        <f>TRUNC(8%*95%*40%,4)</f>
        <v>3.04E-2</v>
      </c>
      <c r="D87" s="14">
        <f>TRUNC($D$33*C87,2)</f>
        <v>88.11</v>
      </c>
    </row>
    <row r="88" spans="1:4" ht="12.75" customHeight="1" x14ac:dyDescent="0.25">
      <c r="A88" s="110" t="s">
        <v>35</v>
      </c>
      <c r="B88" s="110"/>
      <c r="C88" s="110"/>
      <c r="D88" s="19">
        <f>SUM(D82:D87)</f>
        <v>178.51999999999998</v>
      </c>
    </row>
    <row r="91" spans="1:4" x14ac:dyDescent="0.25">
      <c r="A91" s="105" t="s">
        <v>73</v>
      </c>
      <c r="B91" s="105"/>
      <c r="C91" s="105"/>
      <c r="D91" s="105"/>
    </row>
    <row r="94" spans="1:4" x14ac:dyDescent="0.25">
      <c r="A94" s="112" t="s">
        <v>74</v>
      </c>
      <c r="B94" s="112"/>
      <c r="C94" s="112"/>
      <c r="D94" s="112"/>
    </row>
    <row r="95" spans="1:4" x14ac:dyDescent="0.25">
      <c r="A95" s="16"/>
    </row>
    <row r="96" spans="1:4" ht="12.75" customHeight="1" x14ac:dyDescent="0.25">
      <c r="A96" s="12" t="s">
        <v>75</v>
      </c>
      <c r="B96" s="114" t="s">
        <v>76</v>
      </c>
      <c r="C96" s="114"/>
      <c r="D96" s="12" t="s">
        <v>26</v>
      </c>
    </row>
    <row r="97" spans="1:6" x14ac:dyDescent="0.25">
      <c r="A97" s="8" t="s">
        <v>2</v>
      </c>
      <c r="B97" s="13" t="s">
        <v>77</v>
      </c>
      <c r="C97" s="20">
        <f>TRUNC(((1+1/3)/12)/12,4)</f>
        <v>9.1999999999999998E-3</v>
      </c>
      <c r="D97" s="14">
        <f t="shared" ref="D97:D102" si="1">TRUNC(($D$33+$D$76+$D$88)*C97,2)</f>
        <v>48.16</v>
      </c>
    </row>
    <row r="98" spans="1:6" x14ac:dyDescent="0.25">
      <c r="A98" s="8" t="s">
        <v>4</v>
      </c>
      <c r="B98" s="13" t="s">
        <v>78</v>
      </c>
      <c r="C98" s="20">
        <f>TRUNC(((2/30)/12),4)</f>
        <v>5.4999999999999997E-3</v>
      </c>
      <c r="D98" s="14">
        <f t="shared" si="1"/>
        <v>28.79</v>
      </c>
    </row>
    <row r="99" spans="1:6" x14ac:dyDescent="0.25">
      <c r="A99" s="8" t="s">
        <v>6</v>
      </c>
      <c r="B99" s="13" t="s">
        <v>79</v>
      </c>
      <c r="C99" s="20">
        <f>TRUNC(((5/30)/12)*2%,4)</f>
        <v>2.0000000000000001E-4</v>
      </c>
      <c r="D99" s="14">
        <f t="shared" si="1"/>
        <v>1.04</v>
      </c>
    </row>
    <row r="100" spans="1:6" x14ac:dyDescent="0.25">
      <c r="A100" s="8" t="s">
        <v>8</v>
      </c>
      <c r="B100" s="13" t="s">
        <v>80</v>
      </c>
      <c r="C100" s="20">
        <f>TRUNC(((15/30)/12)*8%,4)</f>
        <v>3.3E-3</v>
      </c>
      <c r="D100" s="14">
        <f t="shared" si="1"/>
        <v>17.27</v>
      </c>
    </row>
    <row r="101" spans="1:6" x14ac:dyDescent="0.25">
      <c r="A101" s="8" t="s">
        <v>31</v>
      </c>
      <c r="B101" s="13" t="s">
        <v>81</v>
      </c>
      <c r="C101" s="20">
        <f>((1+1/3)/12)*3%*(4/12)</f>
        <v>1.1111111111111109E-3</v>
      </c>
      <c r="D101" s="14">
        <f t="shared" si="1"/>
        <v>5.81</v>
      </c>
    </row>
    <row r="102" spans="1:6" x14ac:dyDescent="0.25">
      <c r="A102" s="8" t="s">
        <v>51</v>
      </c>
      <c r="B102" s="13" t="s">
        <v>82</v>
      </c>
      <c r="C102" s="20"/>
      <c r="D102" s="14">
        <f t="shared" si="1"/>
        <v>0</v>
      </c>
    </row>
    <row r="103" spans="1:6" ht="12.75" customHeight="1" x14ac:dyDescent="0.25">
      <c r="A103" s="110" t="s">
        <v>56</v>
      </c>
      <c r="B103" s="110"/>
      <c r="C103" s="110"/>
      <c r="D103" s="19">
        <f>SUM(D97:D102)</f>
        <v>101.07</v>
      </c>
      <c r="E103" s="26"/>
      <c r="F103" s="26"/>
    </row>
    <row r="106" spans="1:6" x14ac:dyDescent="0.25">
      <c r="A106" s="112" t="s">
        <v>83</v>
      </c>
      <c r="B106" s="112"/>
      <c r="C106" s="112"/>
      <c r="D106" s="112"/>
    </row>
    <row r="107" spans="1:6" x14ac:dyDescent="0.25">
      <c r="A107" s="16"/>
    </row>
    <row r="108" spans="1:6" ht="12.75" customHeight="1" x14ac:dyDescent="0.25">
      <c r="A108" s="12" t="s">
        <v>84</v>
      </c>
      <c r="B108" s="114" t="s">
        <v>85</v>
      </c>
      <c r="C108" s="114"/>
      <c r="D108" s="12" t="s">
        <v>26</v>
      </c>
    </row>
    <row r="109" spans="1:6" ht="12.75" customHeight="1" x14ac:dyDescent="0.25">
      <c r="A109" s="8" t="s">
        <v>2</v>
      </c>
      <c r="B109" s="111" t="s">
        <v>86</v>
      </c>
      <c r="C109" s="111"/>
      <c r="D109" s="14">
        <f>((D33+D76+D88)/220)*15*0</f>
        <v>0</v>
      </c>
    </row>
    <row r="110" spans="1:6" ht="12.75" customHeight="1" x14ac:dyDescent="0.25">
      <c r="A110" s="110" t="s">
        <v>35</v>
      </c>
      <c r="B110" s="110"/>
      <c r="C110" s="110"/>
      <c r="D110" s="19">
        <f>SUM(D109)</f>
        <v>0</v>
      </c>
    </row>
    <row r="113" spans="1:4" x14ac:dyDescent="0.25">
      <c r="A113" s="112" t="s">
        <v>87</v>
      </c>
      <c r="B113" s="112"/>
      <c r="C113" s="112"/>
      <c r="D113" s="112"/>
    </row>
    <row r="114" spans="1:4" x14ac:dyDescent="0.25">
      <c r="A114" s="16"/>
    </row>
    <row r="115" spans="1:4" ht="12.75" customHeight="1" x14ac:dyDescent="0.25">
      <c r="A115" s="12">
        <v>4</v>
      </c>
      <c r="B115" s="110" t="s">
        <v>88</v>
      </c>
      <c r="C115" s="110"/>
      <c r="D115" s="12" t="s">
        <v>26</v>
      </c>
    </row>
    <row r="116" spans="1:4" ht="12.75" customHeight="1" x14ac:dyDescent="0.25">
      <c r="A116" s="8" t="s">
        <v>75</v>
      </c>
      <c r="B116" s="111" t="s">
        <v>76</v>
      </c>
      <c r="C116" s="111"/>
      <c r="D116" s="23">
        <f>D103</f>
        <v>101.07</v>
      </c>
    </row>
    <row r="117" spans="1:4" ht="12.75" customHeight="1" x14ac:dyDescent="0.25">
      <c r="A117" s="8" t="s">
        <v>84</v>
      </c>
      <c r="B117" s="111" t="s">
        <v>85</v>
      </c>
      <c r="C117" s="111"/>
      <c r="D117" s="23">
        <f>D110</f>
        <v>0</v>
      </c>
    </row>
    <row r="118" spans="1:4" ht="12.75" customHeight="1" x14ac:dyDescent="0.25">
      <c r="A118" s="110" t="s">
        <v>35</v>
      </c>
      <c r="B118" s="110"/>
      <c r="C118" s="110"/>
      <c r="D118" s="19">
        <f>SUM(D116:D117)</f>
        <v>101.07</v>
      </c>
    </row>
    <row r="121" spans="1:4" x14ac:dyDescent="0.25">
      <c r="A121" s="105" t="s">
        <v>89</v>
      </c>
      <c r="B121" s="105"/>
      <c r="C121" s="105"/>
      <c r="D121" s="105"/>
    </row>
    <row r="123" spans="1:4" ht="12.75" customHeight="1" x14ac:dyDescent="0.25">
      <c r="A123" s="12">
        <v>5</v>
      </c>
      <c r="B123" s="115" t="s">
        <v>90</v>
      </c>
      <c r="C123" s="115"/>
      <c r="D123" s="12" t="s">
        <v>26</v>
      </c>
    </row>
    <row r="124" spans="1:4" x14ac:dyDescent="0.25">
      <c r="A124" s="8" t="s">
        <v>2</v>
      </c>
      <c r="B124" s="13" t="s">
        <v>91</v>
      </c>
      <c r="C124" s="13"/>
      <c r="D124" s="14">
        <v>75.349999999999994</v>
      </c>
    </row>
    <row r="125" spans="1:4" x14ac:dyDescent="0.25">
      <c r="A125" s="8" t="s">
        <v>4</v>
      </c>
      <c r="B125" s="13" t="s">
        <v>92</v>
      </c>
      <c r="C125" s="13"/>
      <c r="D125" s="14">
        <v>61.36</v>
      </c>
    </row>
    <row r="126" spans="1:4" x14ac:dyDescent="0.25">
      <c r="A126" s="8" t="s">
        <v>6</v>
      </c>
      <c r="B126" s="13" t="s">
        <v>93</v>
      </c>
      <c r="C126" s="13"/>
      <c r="D126" s="14">
        <v>40.22</v>
      </c>
    </row>
    <row r="127" spans="1:4" x14ac:dyDescent="0.25">
      <c r="A127" s="8" t="s">
        <v>8</v>
      </c>
      <c r="B127" s="13" t="s">
        <v>34</v>
      </c>
      <c r="C127" s="13"/>
      <c r="D127" s="14"/>
    </row>
    <row r="128" spans="1:4" ht="12.75" customHeight="1" x14ac:dyDescent="0.25">
      <c r="A128" s="110" t="s">
        <v>56</v>
      </c>
      <c r="B128" s="110"/>
      <c r="C128" s="110"/>
      <c r="D128" s="15">
        <f>SUM(D124:D127)</f>
        <v>176.92999999999998</v>
      </c>
    </row>
    <row r="131" spans="1:4" x14ac:dyDescent="0.25">
      <c r="A131" s="105" t="s">
        <v>94</v>
      </c>
      <c r="B131" s="105"/>
      <c r="C131" s="105"/>
      <c r="D131" s="105"/>
    </row>
    <row r="133" spans="1:4" x14ac:dyDescent="0.25">
      <c r="A133" s="12">
        <v>6</v>
      </c>
      <c r="B133" s="28" t="s">
        <v>95</v>
      </c>
      <c r="C133" s="12" t="s">
        <v>45</v>
      </c>
      <c r="D133" s="12" t="s">
        <v>26</v>
      </c>
    </row>
    <row r="134" spans="1:4" x14ac:dyDescent="0.25">
      <c r="A134" s="8" t="s">
        <v>2</v>
      </c>
      <c r="B134" s="13" t="s">
        <v>96</v>
      </c>
      <c r="C134" s="20">
        <v>0.05</v>
      </c>
      <c r="D134" s="23">
        <f>D154*C134</f>
        <v>275.64695999999998</v>
      </c>
    </row>
    <row r="135" spans="1:4" x14ac:dyDescent="0.25">
      <c r="A135" s="8" t="s">
        <v>4</v>
      </c>
      <c r="B135" s="13" t="s">
        <v>97</v>
      </c>
      <c r="C135" s="20">
        <v>0.06</v>
      </c>
      <c r="D135" s="14">
        <f>(D154+D134)*C135</f>
        <v>347.31516959999993</v>
      </c>
    </row>
    <row r="136" spans="1:4" x14ac:dyDescent="0.25">
      <c r="A136" s="8" t="s">
        <v>6</v>
      </c>
      <c r="B136" s="13" t="s">
        <v>98</v>
      </c>
      <c r="C136" s="17">
        <f>SUM(C137:C142)</f>
        <v>8.6499999999999994E-2</v>
      </c>
      <c r="D136" s="14">
        <f>(D154+D134+D135)*C136/(1-C136)</f>
        <v>581.01309798620673</v>
      </c>
    </row>
    <row r="137" spans="1:4" x14ac:dyDescent="0.25">
      <c r="A137" s="8"/>
      <c r="B137" s="13" t="s">
        <v>99</v>
      </c>
      <c r="C137" s="20"/>
      <c r="D137" s="23">
        <f t="shared" ref="D137:D142" si="2">$D$156*C137</f>
        <v>0</v>
      </c>
    </row>
    <row r="138" spans="1:4" x14ac:dyDescent="0.25">
      <c r="A138" s="8"/>
      <c r="B138" s="13" t="s">
        <v>100</v>
      </c>
      <c r="C138" s="20">
        <v>6.4999999999999997E-3</v>
      </c>
      <c r="D138" s="23">
        <f t="shared" si="2"/>
        <v>43.659943779310332</v>
      </c>
    </row>
    <row r="139" spans="1:4" x14ac:dyDescent="0.25">
      <c r="A139" s="8"/>
      <c r="B139" s="13" t="s">
        <v>101</v>
      </c>
      <c r="C139" s="20">
        <v>0.03</v>
      </c>
      <c r="D139" s="23">
        <f t="shared" si="2"/>
        <v>201.50743282758614</v>
      </c>
    </row>
    <row r="140" spans="1:4" x14ac:dyDescent="0.25">
      <c r="A140" s="8"/>
      <c r="B140" s="13" t="s">
        <v>102</v>
      </c>
      <c r="C140" s="65"/>
      <c r="D140" s="23">
        <f t="shared" si="2"/>
        <v>0</v>
      </c>
    </row>
    <row r="141" spans="1:4" x14ac:dyDescent="0.25">
      <c r="A141" s="8"/>
      <c r="B141" s="13" t="s">
        <v>103</v>
      </c>
      <c r="C141" s="20"/>
      <c r="D141" s="23">
        <f t="shared" si="2"/>
        <v>0</v>
      </c>
    </row>
    <row r="142" spans="1:4" x14ac:dyDescent="0.25">
      <c r="A142" s="8"/>
      <c r="B142" s="13" t="s">
        <v>104</v>
      </c>
      <c r="C142" s="20">
        <v>0.05</v>
      </c>
      <c r="D142" s="23">
        <f t="shared" si="2"/>
        <v>335.84572137931031</v>
      </c>
    </row>
    <row r="143" spans="1:4" ht="13.5" customHeight="1" x14ac:dyDescent="0.25">
      <c r="A143" s="116" t="s">
        <v>56</v>
      </c>
      <c r="B143" s="116"/>
      <c r="C143" s="29">
        <f>ROUND((1+C135)*(1+C134)/(1-C136)-1,4)</f>
        <v>0.21840000000000001</v>
      </c>
      <c r="D143" s="19">
        <f>SUM(D134:D136)</f>
        <v>1203.9752275862065</v>
      </c>
    </row>
    <row r="146" spans="1:4" x14ac:dyDescent="0.25">
      <c r="A146" s="105" t="s">
        <v>105</v>
      </c>
      <c r="B146" s="105"/>
      <c r="C146" s="105"/>
      <c r="D146" s="105"/>
    </row>
    <row r="148" spans="1:4" ht="12.75" customHeight="1" x14ac:dyDescent="0.25">
      <c r="A148" s="12"/>
      <c r="B148" s="110" t="s">
        <v>106</v>
      </c>
      <c r="C148" s="110"/>
      <c r="D148" s="12" t="s">
        <v>26</v>
      </c>
    </row>
    <row r="149" spans="1:4" ht="12.75" customHeight="1" x14ac:dyDescent="0.25">
      <c r="A149" s="12" t="s">
        <v>2</v>
      </c>
      <c r="B149" s="111" t="s">
        <v>24</v>
      </c>
      <c r="C149" s="111"/>
      <c r="D149" s="30">
        <f>D33</f>
        <v>2898.4539999999997</v>
      </c>
    </row>
    <row r="150" spans="1:4" ht="12.75" customHeight="1" x14ac:dyDescent="0.25">
      <c r="A150" s="12" t="s">
        <v>4</v>
      </c>
      <c r="B150" s="111" t="s">
        <v>36</v>
      </c>
      <c r="C150" s="111"/>
      <c r="D150" s="30">
        <f>D76</f>
        <v>2157.9651999999996</v>
      </c>
    </row>
    <row r="151" spans="1:4" ht="12.75" customHeight="1" x14ac:dyDescent="0.25">
      <c r="A151" s="12" t="s">
        <v>6</v>
      </c>
      <c r="B151" s="111" t="s">
        <v>65</v>
      </c>
      <c r="C151" s="111"/>
      <c r="D151" s="30">
        <f>D88</f>
        <v>178.51999999999998</v>
      </c>
    </row>
    <row r="152" spans="1:4" ht="12.75" customHeight="1" x14ac:dyDescent="0.25">
      <c r="A152" s="12" t="s">
        <v>8</v>
      </c>
      <c r="B152" s="111" t="s">
        <v>73</v>
      </c>
      <c r="C152" s="111"/>
      <c r="D152" s="30">
        <f>D118</f>
        <v>101.07</v>
      </c>
    </row>
    <row r="153" spans="1:4" ht="12.75" customHeight="1" x14ac:dyDescent="0.25">
      <c r="A153" s="12" t="s">
        <v>31</v>
      </c>
      <c r="B153" s="111" t="s">
        <v>89</v>
      </c>
      <c r="C153" s="111"/>
      <c r="D153" s="30">
        <f>D128</f>
        <v>176.92999999999998</v>
      </c>
    </row>
    <row r="154" spans="1:4" ht="12.75" customHeight="1" x14ac:dyDescent="0.25">
      <c r="A154" s="110" t="s">
        <v>107</v>
      </c>
      <c r="B154" s="110"/>
      <c r="C154" s="110"/>
      <c r="D154" s="31">
        <f>SUM(D149:D153)</f>
        <v>5512.9391999999989</v>
      </c>
    </row>
    <row r="155" spans="1:4" ht="12.75" customHeight="1" x14ac:dyDescent="0.25">
      <c r="A155" s="12" t="s">
        <v>51</v>
      </c>
      <c r="B155" s="111" t="s">
        <v>108</v>
      </c>
      <c r="C155" s="111"/>
      <c r="D155" s="32">
        <f>D143</f>
        <v>1203.9752275862065</v>
      </c>
    </row>
    <row r="156" spans="1:4" ht="12.75" customHeight="1" x14ac:dyDescent="0.25">
      <c r="A156" s="110" t="s">
        <v>109</v>
      </c>
      <c r="B156" s="110"/>
      <c r="C156" s="110"/>
      <c r="D156" s="31">
        <f>SUM(D154:D155)</f>
        <v>6716.9144275862054</v>
      </c>
    </row>
  </sheetData>
  <mergeCells count="71">
    <mergeCell ref="A156:C156"/>
    <mergeCell ref="B151:C151"/>
    <mergeCell ref="B152:C152"/>
    <mergeCell ref="B153:C153"/>
    <mergeCell ref="A154:C154"/>
    <mergeCell ref="B155:C155"/>
    <mergeCell ref="A143:B143"/>
    <mergeCell ref="A146:D146"/>
    <mergeCell ref="B148:C148"/>
    <mergeCell ref="B149:C149"/>
    <mergeCell ref="B150:C150"/>
    <mergeCell ref="A118:C118"/>
    <mergeCell ref="A121:D121"/>
    <mergeCell ref="B123:C123"/>
    <mergeCell ref="A128:C128"/>
    <mergeCell ref="A131:D131"/>
    <mergeCell ref="A110:C110"/>
    <mergeCell ref="A113:D113"/>
    <mergeCell ref="B115:C115"/>
    <mergeCell ref="B116:C116"/>
    <mergeCell ref="B117:C117"/>
    <mergeCell ref="B96:C96"/>
    <mergeCell ref="A103:C103"/>
    <mergeCell ref="A106:D106"/>
    <mergeCell ref="B108:C108"/>
    <mergeCell ref="B109:C109"/>
    <mergeCell ref="A79:D79"/>
    <mergeCell ref="B81:C81"/>
    <mergeCell ref="A88:C88"/>
    <mergeCell ref="A91:D91"/>
    <mergeCell ref="A94:D94"/>
    <mergeCell ref="B72:C72"/>
    <mergeCell ref="B73:C73"/>
    <mergeCell ref="B74:C74"/>
    <mergeCell ref="B75:C75"/>
    <mergeCell ref="A76:C76"/>
    <mergeCell ref="B64:C64"/>
    <mergeCell ref="B65:C65"/>
    <mergeCell ref="B66:C66"/>
    <mergeCell ref="A67:C67"/>
    <mergeCell ref="A70:D70"/>
    <mergeCell ref="A46:D46"/>
    <mergeCell ref="A57:B57"/>
    <mergeCell ref="A60:D60"/>
    <mergeCell ref="B62:C62"/>
    <mergeCell ref="B63:C63"/>
    <mergeCell ref="A33:C33"/>
    <mergeCell ref="A36:D36"/>
    <mergeCell ref="A38:D38"/>
    <mergeCell ref="B40:C40"/>
    <mergeCell ref="A43:B43"/>
    <mergeCell ref="B28:C28"/>
    <mergeCell ref="B29:C29"/>
    <mergeCell ref="B30:C30"/>
    <mergeCell ref="B31:C31"/>
    <mergeCell ref="B32:C32"/>
    <mergeCell ref="C21:D21"/>
    <mergeCell ref="A23:D23"/>
    <mergeCell ref="B25:C25"/>
    <mergeCell ref="B26:C26"/>
    <mergeCell ref="B27:C27"/>
    <mergeCell ref="A15:D15"/>
    <mergeCell ref="C17:D17"/>
    <mergeCell ref="C18:D18"/>
    <mergeCell ref="C19:D19"/>
    <mergeCell ref="C20:D20"/>
    <mergeCell ref="A1:D1"/>
    <mergeCell ref="A3:D3"/>
    <mergeCell ref="A10:D10"/>
    <mergeCell ref="A12:B12"/>
    <mergeCell ref="A13:B13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6"/>
  <sheetViews>
    <sheetView topLeftCell="A55" zoomScale="115" zoomScaleNormal="115" workbookViewId="0">
      <selection activeCell="D64" sqref="D64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104" t="s">
        <v>0</v>
      </c>
      <c r="B1" s="104"/>
      <c r="C1" s="104"/>
      <c r="D1" s="104"/>
    </row>
    <row r="2" spans="1:4" ht="15.75" x14ac:dyDescent="0.25">
      <c r="A2" s="2"/>
      <c r="B2" s="2"/>
      <c r="C2" s="2"/>
      <c r="D2" s="2"/>
    </row>
    <row r="3" spans="1:4" x14ac:dyDescent="0.25">
      <c r="A3" s="105" t="s">
        <v>1</v>
      </c>
      <c r="B3" s="105"/>
      <c r="C3" s="105"/>
      <c r="D3" s="105"/>
    </row>
    <row r="4" spans="1:4" x14ac:dyDescent="0.25">
      <c r="A4" s="3"/>
      <c r="B4" s="3"/>
      <c r="C4" s="3"/>
      <c r="D4" s="3"/>
    </row>
    <row r="5" spans="1:4" x14ac:dyDescent="0.25">
      <c r="A5" s="4" t="s">
        <v>2</v>
      </c>
      <c r="B5" s="5" t="s">
        <v>3</v>
      </c>
      <c r="C5" s="6"/>
      <c r="D5" s="7"/>
    </row>
    <row r="6" spans="1:4" x14ac:dyDescent="0.25">
      <c r="A6" s="4" t="s">
        <v>4</v>
      </c>
      <c r="B6" s="5" t="s">
        <v>5</v>
      </c>
      <c r="C6" s="6"/>
      <c r="D6" s="7"/>
    </row>
    <row r="7" spans="1:4" x14ac:dyDescent="0.25">
      <c r="A7" s="4" t="s">
        <v>6</v>
      </c>
      <c r="B7" s="5" t="s">
        <v>7</v>
      </c>
      <c r="C7" s="6"/>
      <c r="D7" s="7"/>
    </row>
    <row r="8" spans="1:4" x14ac:dyDescent="0.25">
      <c r="A8" s="4" t="s">
        <v>8</v>
      </c>
      <c r="B8" s="5" t="s">
        <v>9</v>
      </c>
      <c r="C8" s="6"/>
      <c r="D8" s="7">
        <v>24</v>
      </c>
    </row>
    <row r="10" spans="1:4" x14ac:dyDescent="0.25">
      <c r="A10" s="105" t="s">
        <v>10</v>
      </c>
      <c r="B10" s="105"/>
      <c r="C10" s="105"/>
      <c r="D10" s="105"/>
    </row>
    <row r="11" spans="1:4" x14ac:dyDescent="0.25">
      <c r="A11" s="3"/>
      <c r="B11" s="3"/>
      <c r="C11" s="3"/>
      <c r="D11" s="3"/>
    </row>
    <row r="12" spans="1:4" ht="38.25" customHeight="1" x14ac:dyDescent="0.25">
      <c r="A12" s="106" t="s">
        <v>11</v>
      </c>
      <c r="B12" s="106"/>
      <c r="C12" s="8" t="s">
        <v>12</v>
      </c>
      <c r="D12" s="9" t="s">
        <v>13</v>
      </c>
    </row>
    <row r="13" spans="1:4" s="11" customFormat="1" ht="12.75" x14ac:dyDescent="0.2">
      <c r="A13" s="107" t="s">
        <v>188</v>
      </c>
      <c r="B13" s="107"/>
      <c r="C13" s="10" t="s">
        <v>15</v>
      </c>
      <c r="D13" s="10">
        <v>1</v>
      </c>
    </row>
    <row r="15" spans="1:4" x14ac:dyDescent="0.25">
      <c r="A15" s="105" t="s">
        <v>16</v>
      </c>
      <c r="B15" s="105"/>
      <c r="C15" s="105"/>
      <c r="D15" s="105"/>
    </row>
    <row r="16" spans="1:4" x14ac:dyDescent="0.25">
      <c r="A16" s="3"/>
      <c r="B16" s="3"/>
      <c r="C16" s="3"/>
      <c r="D16" s="3"/>
    </row>
    <row r="17" spans="1:4" x14ac:dyDescent="0.25">
      <c r="A17" s="4">
        <v>1</v>
      </c>
      <c r="B17" s="4" t="s">
        <v>17</v>
      </c>
      <c r="C17" s="108" t="s">
        <v>191</v>
      </c>
      <c r="D17" s="108"/>
    </row>
    <row r="18" spans="1:4" x14ac:dyDescent="0.25">
      <c r="A18" s="4">
        <v>2</v>
      </c>
      <c r="B18" s="4" t="s">
        <v>19</v>
      </c>
      <c r="C18" s="108" t="s">
        <v>127</v>
      </c>
      <c r="D18" s="108"/>
    </row>
    <row r="19" spans="1:4" x14ac:dyDescent="0.25">
      <c r="A19" s="4">
        <v>3</v>
      </c>
      <c r="B19" s="4" t="s">
        <v>21</v>
      </c>
      <c r="C19" s="108">
        <v>2229.58</v>
      </c>
      <c r="D19" s="108"/>
    </row>
    <row r="20" spans="1:4" x14ac:dyDescent="0.25">
      <c r="A20" s="4">
        <v>4</v>
      </c>
      <c r="B20" s="4" t="s">
        <v>22</v>
      </c>
      <c r="C20" s="108" t="s">
        <v>196</v>
      </c>
      <c r="D20" s="108"/>
    </row>
    <row r="21" spans="1:4" x14ac:dyDescent="0.25">
      <c r="A21" s="4">
        <v>5</v>
      </c>
      <c r="B21" s="4" t="s">
        <v>23</v>
      </c>
      <c r="C21" s="108"/>
      <c r="D21" s="108"/>
    </row>
    <row r="23" spans="1:4" x14ac:dyDescent="0.25">
      <c r="A23" s="105" t="s">
        <v>24</v>
      </c>
      <c r="B23" s="105"/>
      <c r="C23" s="105"/>
      <c r="D23" s="105"/>
    </row>
    <row r="25" spans="1:4" ht="12.75" customHeight="1" x14ac:dyDescent="0.25">
      <c r="A25" s="12">
        <v>1</v>
      </c>
      <c r="B25" s="110" t="s">
        <v>25</v>
      </c>
      <c r="C25" s="110"/>
      <c r="D25" s="12" t="s">
        <v>26</v>
      </c>
    </row>
    <row r="26" spans="1:4" ht="12.75" customHeight="1" x14ac:dyDescent="0.25">
      <c r="A26" s="8" t="s">
        <v>2</v>
      </c>
      <c r="B26" s="111" t="s">
        <v>27</v>
      </c>
      <c r="C26" s="111"/>
      <c r="D26" s="14">
        <v>2229.58</v>
      </c>
    </row>
    <row r="27" spans="1:4" ht="12.75" customHeight="1" x14ac:dyDescent="0.25">
      <c r="A27" s="8" t="s">
        <v>4</v>
      </c>
      <c r="B27" s="111" t="s">
        <v>28</v>
      </c>
      <c r="C27" s="111"/>
      <c r="D27" s="14">
        <f>D26*0.3</f>
        <v>668.87399999999991</v>
      </c>
    </row>
    <row r="28" spans="1:4" ht="12.75" customHeight="1" x14ac:dyDescent="0.25">
      <c r="A28" s="8" t="s">
        <v>6</v>
      </c>
      <c r="B28" s="111" t="s">
        <v>29</v>
      </c>
      <c r="C28" s="111"/>
      <c r="D28" s="14"/>
    </row>
    <row r="29" spans="1:4" ht="12.75" customHeight="1" x14ac:dyDescent="0.25">
      <c r="A29" s="8" t="s">
        <v>8</v>
      </c>
      <c r="B29" s="111" t="s">
        <v>30</v>
      </c>
      <c r="C29" s="111"/>
      <c r="D29" s="14">
        <f>8*15*((D26+D27)/220)*0.2</f>
        <v>316.19498181818176</v>
      </c>
    </row>
    <row r="30" spans="1:4" ht="12.75" customHeight="1" x14ac:dyDescent="0.25">
      <c r="A30" s="8" t="s">
        <v>31</v>
      </c>
      <c r="B30" s="111" t="s">
        <v>32</v>
      </c>
      <c r="C30" s="111"/>
      <c r="D30" s="14">
        <f>15*((D26+D27)/220)</f>
        <v>197.6218636363636</v>
      </c>
    </row>
    <row r="31" spans="1:4" x14ac:dyDescent="0.25">
      <c r="A31" s="8"/>
      <c r="B31" s="111"/>
      <c r="C31" s="111"/>
      <c r="D31" s="14"/>
    </row>
    <row r="32" spans="1:4" ht="12.75" customHeight="1" x14ac:dyDescent="0.25">
      <c r="A32" s="8" t="s">
        <v>33</v>
      </c>
      <c r="B32" s="111" t="s">
        <v>34</v>
      </c>
      <c r="C32" s="111"/>
      <c r="D32" s="14"/>
    </row>
    <row r="33" spans="1:4" ht="12.75" customHeight="1" x14ac:dyDescent="0.25">
      <c r="A33" s="110" t="s">
        <v>35</v>
      </c>
      <c r="B33" s="110"/>
      <c r="C33" s="110"/>
      <c r="D33" s="15">
        <f>SUM(D26:D32)</f>
        <v>3412.2708454545455</v>
      </c>
    </row>
    <row r="36" spans="1:4" x14ac:dyDescent="0.25">
      <c r="A36" s="105" t="s">
        <v>36</v>
      </c>
      <c r="B36" s="105"/>
      <c r="C36" s="105"/>
      <c r="D36" s="105"/>
    </row>
    <row r="37" spans="1:4" x14ac:dyDescent="0.25">
      <c r="A37" s="16"/>
    </row>
    <row r="38" spans="1:4" x14ac:dyDescent="0.25">
      <c r="A38" s="112" t="s">
        <v>37</v>
      </c>
      <c r="B38" s="112"/>
      <c r="C38" s="112"/>
      <c r="D38" s="112"/>
    </row>
    <row r="40" spans="1:4" ht="12.75" customHeight="1" x14ac:dyDescent="0.25">
      <c r="A40" s="12" t="s">
        <v>38</v>
      </c>
      <c r="B40" s="110" t="s">
        <v>39</v>
      </c>
      <c r="C40" s="110"/>
      <c r="D40" s="12" t="s">
        <v>26</v>
      </c>
    </row>
    <row r="41" spans="1:4" x14ac:dyDescent="0.25">
      <c r="A41" s="8" t="s">
        <v>2</v>
      </c>
      <c r="B41" s="13" t="s">
        <v>40</v>
      </c>
      <c r="C41" s="17">
        <f>TRUNC(1/12,4)</f>
        <v>8.3299999999999999E-2</v>
      </c>
      <c r="D41" s="14">
        <f>TRUNC($D$33*C41,2)</f>
        <v>284.24</v>
      </c>
    </row>
    <row r="42" spans="1:4" x14ac:dyDescent="0.25">
      <c r="A42" s="8" t="s">
        <v>4</v>
      </c>
      <c r="B42" s="13" t="s">
        <v>41</v>
      </c>
      <c r="C42" s="17">
        <f>TRUNC(((1+1/3)/12),4)</f>
        <v>0.1111</v>
      </c>
      <c r="D42" s="14">
        <f>TRUNC($D$33*C42,2)</f>
        <v>379.1</v>
      </c>
    </row>
    <row r="43" spans="1:4" ht="12.75" customHeight="1" x14ac:dyDescent="0.25">
      <c r="A43" s="110" t="s">
        <v>35</v>
      </c>
      <c r="B43" s="110"/>
      <c r="C43" s="18">
        <f>SUM(C41:C42)</f>
        <v>0.19440000000000002</v>
      </c>
      <c r="D43" s="19">
        <f>SUM(D41:D42)</f>
        <v>663.34</v>
      </c>
    </row>
    <row r="46" spans="1:4" ht="12.75" customHeight="1" x14ac:dyDescent="0.25">
      <c r="A46" s="113" t="s">
        <v>42</v>
      </c>
      <c r="B46" s="113"/>
      <c r="C46" s="113"/>
      <c r="D46" s="113"/>
    </row>
    <row r="48" spans="1:4" x14ac:dyDescent="0.25">
      <c r="A48" s="12" t="s">
        <v>43</v>
      </c>
      <c r="B48" s="12" t="s">
        <v>44</v>
      </c>
      <c r="C48" s="12" t="s">
        <v>45</v>
      </c>
      <c r="D48" s="12" t="s">
        <v>26</v>
      </c>
    </row>
    <row r="49" spans="1:4" x14ac:dyDescent="0.25">
      <c r="A49" s="8" t="s">
        <v>2</v>
      </c>
      <c r="B49" s="13" t="s">
        <v>46</v>
      </c>
      <c r="C49" s="20">
        <v>0.2</v>
      </c>
      <c r="D49" s="14">
        <f t="shared" ref="D49:D56" si="0">TRUNC(($D$33+$D$43)*C49,2)</f>
        <v>815.12</v>
      </c>
    </row>
    <row r="50" spans="1:4" x14ac:dyDescent="0.25">
      <c r="A50" s="8" t="s">
        <v>4</v>
      </c>
      <c r="B50" s="13" t="s">
        <v>47</v>
      </c>
      <c r="C50" s="20">
        <v>2.5000000000000001E-2</v>
      </c>
      <c r="D50" s="14">
        <f t="shared" si="0"/>
        <v>101.89</v>
      </c>
    </row>
    <row r="51" spans="1:4" x14ac:dyDescent="0.25">
      <c r="A51" s="8" t="s">
        <v>6</v>
      </c>
      <c r="B51" s="13" t="s">
        <v>48</v>
      </c>
      <c r="C51" s="21">
        <v>0.03</v>
      </c>
      <c r="D51" s="14">
        <f t="shared" si="0"/>
        <v>122.26</v>
      </c>
    </row>
    <row r="52" spans="1:4" x14ac:dyDescent="0.25">
      <c r="A52" s="8" t="s">
        <v>8</v>
      </c>
      <c r="B52" s="13" t="s">
        <v>49</v>
      </c>
      <c r="C52" s="20">
        <v>1.4999999999999999E-2</v>
      </c>
      <c r="D52" s="14">
        <f t="shared" si="0"/>
        <v>61.13</v>
      </c>
    </row>
    <row r="53" spans="1:4" x14ac:dyDescent="0.25">
      <c r="A53" s="8" t="s">
        <v>31</v>
      </c>
      <c r="B53" s="13" t="s">
        <v>50</v>
      </c>
      <c r="C53" s="20">
        <v>0.01</v>
      </c>
      <c r="D53" s="14">
        <f t="shared" si="0"/>
        <v>40.75</v>
      </c>
    </row>
    <row r="54" spans="1:4" x14ac:dyDescent="0.25">
      <c r="A54" s="8" t="s">
        <v>51</v>
      </c>
      <c r="B54" s="13" t="s">
        <v>52</v>
      </c>
      <c r="C54" s="20">
        <v>6.0000000000000001E-3</v>
      </c>
      <c r="D54" s="14">
        <f t="shared" si="0"/>
        <v>24.45</v>
      </c>
    </row>
    <row r="55" spans="1:4" x14ac:dyDescent="0.25">
      <c r="A55" s="8" t="s">
        <v>33</v>
      </c>
      <c r="B55" s="13" t="s">
        <v>53</v>
      </c>
      <c r="C55" s="20">
        <v>2E-3</v>
      </c>
      <c r="D55" s="14">
        <f t="shared" si="0"/>
        <v>8.15</v>
      </c>
    </row>
    <row r="56" spans="1:4" x14ac:dyDescent="0.25">
      <c r="A56" s="8" t="s">
        <v>54</v>
      </c>
      <c r="B56" s="13" t="s">
        <v>55</v>
      </c>
      <c r="C56" s="20">
        <v>0.08</v>
      </c>
      <c r="D56" s="14">
        <f t="shared" si="0"/>
        <v>326.04000000000002</v>
      </c>
    </row>
    <row r="57" spans="1:4" ht="12.75" customHeight="1" x14ac:dyDescent="0.25">
      <c r="A57" s="110" t="s">
        <v>56</v>
      </c>
      <c r="B57" s="110"/>
      <c r="C57" s="22">
        <f>SUM(C49:C56)</f>
        <v>0.36800000000000005</v>
      </c>
      <c r="D57" s="19">
        <f>SUM(D49:D56)</f>
        <v>1499.7900000000002</v>
      </c>
    </row>
    <row r="60" spans="1:4" x14ac:dyDescent="0.25">
      <c r="A60" s="112" t="s">
        <v>57</v>
      </c>
      <c r="B60" s="112"/>
      <c r="C60" s="112"/>
      <c r="D60" s="112"/>
    </row>
    <row r="62" spans="1:4" ht="12.75" customHeight="1" x14ac:dyDescent="0.25">
      <c r="A62" s="12" t="s">
        <v>58</v>
      </c>
      <c r="B62" s="114" t="s">
        <v>59</v>
      </c>
      <c r="C62" s="114"/>
      <c r="D62" s="12" t="s">
        <v>26</v>
      </c>
    </row>
    <row r="63" spans="1:4" ht="12.75" customHeight="1" x14ac:dyDescent="0.25">
      <c r="A63" s="8" t="s">
        <v>2</v>
      </c>
      <c r="B63" s="111" t="s">
        <v>60</v>
      </c>
      <c r="C63" s="111"/>
      <c r="D63" s="14">
        <f>IF((15*2*4.9)&gt;(D26*0.06),(15*2*4.9)-(D26*0.06),0)</f>
        <v>13.225200000000001</v>
      </c>
    </row>
    <row r="64" spans="1:4" ht="12.75" customHeight="1" x14ac:dyDescent="0.25">
      <c r="A64" s="8" t="s">
        <v>4</v>
      </c>
      <c r="B64" s="111" t="s">
        <v>61</v>
      </c>
      <c r="C64" s="111"/>
      <c r="D64" s="14">
        <f>15*20.49</f>
        <v>307.34999999999997</v>
      </c>
    </row>
    <row r="65" spans="1:5" ht="12.75" customHeight="1" x14ac:dyDescent="0.25">
      <c r="A65" s="8" t="s">
        <v>6</v>
      </c>
      <c r="B65" s="111" t="s">
        <v>62</v>
      </c>
      <c r="C65" s="111"/>
      <c r="D65" s="14"/>
    </row>
    <row r="66" spans="1:5" ht="12.75" customHeight="1" x14ac:dyDescent="0.25">
      <c r="A66" s="8" t="s">
        <v>8</v>
      </c>
      <c r="B66" s="111" t="s">
        <v>34</v>
      </c>
      <c r="C66" s="111"/>
      <c r="D66" s="14"/>
    </row>
    <row r="67" spans="1:5" ht="12.75" customHeight="1" x14ac:dyDescent="0.25">
      <c r="A67" s="110" t="s">
        <v>35</v>
      </c>
      <c r="B67" s="110"/>
      <c r="C67" s="110"/>
      <c r="D67" s="19">
        <f>SUM(D63:D66)</f>
        <v>320.5752</v>
      </c>
    </row>
    <row r="70" spans="1:5" x14ac:dyDescent="0.25">
      <c r="A70" s="112" t="s">
        <v>63</v>
      </c>
      <c r="B70" s="112"/>
      <c r="C70" s="112"/>
      <c r="D70" s="112"/>
    </row>
    <row r="72" spans="1:5" ht="12.75" customHeight="1" x14ac:dyDescent="0.25">
      <c r="A72" s="12">
        <v>2</v>
      </c>
      <c r="B72" s="114" t="s">
        <v>64</v>
      </c>
      <c r="C72" s="114"/>
      <c r="D72" s="12" t="s">
        <v>26</v>
      </c>
    </row>
    <row r="73" spans="1:5" ht="12.75" customHeight="1" x14ac:dyDescent="0.25">
      <c r="A73" s="8" t="s">
        <v>38</v>
      </c>
      <c r="B73" s="111" t="s">
        <v>39</v>
      </c>
      <c r="C73" s="111"/>
      <c r="D73" s="23">
        <f>D43</f>
        <v>663.34</v>
      </c>
    </row>
    <row r="74" spans="1:5" ht="12.75" customHeight="1" x14ac:dyDescent="0.25">
      <c r="A74" s="8" t="s">
        <v>43</v>
      </c>
      <c r="B74" s="111" t="s">
        <v>44</v>
      </c>
      <c r="C74" s="111"/>
      <c r="D74" s="23">
        <f>D57</f>
        <v>1499.7900000000002</v>
      </c>
    </row>
    <row r="75" spans="1:5" ht="12.75" customHeight="1" x14ac:dyDescent="0.25">
      <c r="A75" s="8" t="s">
        <v>58</v>
      </c>
      <c r="B75" s="111" t="s">
        <v>59</v>
      </c>
      <c r="C75" s="111"/>
      <c r="D75" s="23">
        <f>D67</f>
        <v>320.5752</v>
      </c>
    </row>
    <row r="76" spans="1:5" ht="12.75" customHeight="1" x14ac:dyDescent="0.25">
      <c r="A76" s="110" t="s">
        <v>35</v>
      </c>
      <c r="B76" s="110"/>
      <c r="C76" s="110"/>
      <c r="D76" s="19">
        <f>SUM(D73:D75)</f>
        <v>2483.7052000000003</v>
      </c>
    </row>
    <row r="77" spans="1:5" x14ac:dyDescent="0.25">
      <c r="A77" s="24"/>
      <c r="E77" s="25"/>
    </row>
    <row r="79" spans="1:5" x14ac:dyDescent="0.25">
      <c r="A79" s="105" t="s">
        <v>65</v>
      </c>
      <c r="B79" s="105"/>
      <c r="C79" s="105"/>
      <c r="D79" s="105"/>
      <c r="E79" s="26"/>
    </row>
    <row r="80" spans="1:5" ht="12.75" customHeight="1" x14ac:dyDescent="0.25">
      <c r="E80" s="25"/>
    </row>
    <row r="81" spans="1:4" ht="12.75" customHeight="1" x14ac:dyDescent="0.25">
      <c r="A81" s="12">
        <v>3</v>
      </c>
      <c r="B81" s="114" t="s">
        <v>66</v>
      </c>
      <c r="C81" s="114"/>
      <c r="D81" s="12" t="s">
        <v>26</v>
      </c>
    </row>
    <row r="82" spans="1:4" x14ac:dyDescent="0.25">
      <c r="A82" s="8" t="s">
        <v>2</v>
      </c>
      <c r="B82" s="27" t="s">
        <v>67</v>
      </c>
      <c r="C82" s="20">
        <f>TRUNC(((1/12)*5%),4)</f>
        <v>4.1000000000000003E-3</v>
      </c>
      <c r="D82" s="14">
        <f>TRUNC($D$33*C82,2)</f>
        <v>13.99</v>
      </c>
    </row>
    <row r="83" spans="1:4" x14ac:dyDescent="0.25">
      <c r="A83" s="8" t="s">
        <v>4</v>
      </c>
      <c r="B83" s="27" t="s">
        <v>68</v>
      </c>
      <c r="C83" s="20">
        <v>0.08</v>
      </c>
      <c r="D83" s="14">
        <f>TRUNC(D82*C83,2)</f>
        <v>1.1100000000000001</v>
      </c>
    </row>
    <row r="84" spans="1:4" x14ac:dyDescent="0.25">
      <c r="A84" s="8" t="s">
        <v>6</v>
      </c>
      <c r="B84" s="27" t="s">
        <v>69</v>
      </c>
      <c r="C84" s="20">
        <f>TRUNC(8%*5%*40%,4)</f>
        <v>1.6000000000000001E-3</v>
      </c>
      <c r="D84" s="14">
        <f>TRUNC($D$33*C84,2)</f>
        <v>5.45</v>
      </c>
    </row>
    <row r="85" spans="1:4" x14ac:dyDescent="0.25">
      <c r="A85" s="8" t="s">
        <v>8</v>
      </c>
      <c r="B85" s="27" t="s">
        <v>70</v>
      </c>
      <c r="C85" s="20">
        <f>TRUNC(((7/30)/12)*95%,4)</f>
        <v>1.84E-2</v>
      </c>
      <c r="D85" s="14">
        <f>TRUNC($D$33*C85,2)</f>
        <v>62.78</v>
      </c>
    </row>
    <row r="86" spans="1:4" ht="25.5" x14ac:dyDescent="0.25">
      <c r="A86" s="8" t="s">
        <v>31</v>
      </c>
      <c r="B86" s="27" t="s">
        <v>71</v>
      </c>
      <c r="C86" s="20">
        <f>C57</f>
        <v>0.36800000000000005</v>
      </c>
      <c r="D86" s="14">
        <f>TRUNC(D85*C86,2)</f>
        <v>23.1</v>
      </c>
    </row>
    <row r="87" spans="1:4" x14ac:dyDescent="0.25">
      <c r="A87" s="8" t="s">
        <v>51</v>
      </c>
      <c r="B87" s="27" t="s">
        <v>72</v>
      </c>
      <c r="C87" s="20">
        <f>TRUNC(8%*95%*40%,4)</f>
        <v>3.04E-2</v>
      </c>
      <c r="D87" s="14">
        <f>TRUNC($D$33*C87,2)</f>
        <v>103.73</v>
      </c>
    </row>
    <row r="88" spans="1:4" ht="12.75" customHeight="1" x14ac:dyDescent="0.25">
      <c r="A88" s="110" t="s">
        <v>35</v>
      </c>
      <c r="B88" s="110"/>
      <c r="C88" s="110"/>
      <c r="D88" s="19">
        <f>SUM(D82:D87)</f>
        <v>210.16000000000003</v>
      </c>
    </row>
    <row r="91" spans="1:4" x14ac:dyDescent="0.25">
      <c r="A91" s="105" t="s">
        <v>73</v>
      </c>
      <c r="B91" s="105"/>
      <c r="C91" s="105"/>
      <c r="D91" s="105"/>
    </row>
    <row r="94" spans="1:4" x14ac:dyDescent="0.25">
      <c r="A94" s="112" t="s">
        <v>74</v>
      </c>
      <c r="B94" s="112"/>
      <c r="C94" s="112"/>
      <c r="D94" s="112"/>
    </row>
    <row r="95" spans="1:4" x14ac:dyDescent="0.25">
      <c r="A95" s="16"/>
    </row>
    <row r="96" spans="1:4" ht="12.75" customHeight="1" x14ac:dyDescent="0.25">
      <c r="A96" s="12" t="s">
        <v>75</v>
      </c>
      <c r="B96" s="114" t="s">
        <v>76</v>
      </c>
      <c r="C96" s="114"/>
      <c r="D96" s="12" t="s">
        <v>26</v>
      </c>
    </row>
    <row r="97" spans="1:6" x14ac:dyDescent="0.25">
      <c r="A97" s="8" t="s">
        <v>2</v>
      </c>
      <c r="B97" s="13" t="s">
        <v>77</v>
      </c>
      <c r="C97" s="20">
        <f>TRUNC(((1+1/3)/12)/12,4)</f>
        <v>9.1999999999999998E-3</v>
      </c>
      <c r="D97" s="14">
        <f t="shared" ref="D97:D102" si="1">TRUNC(($D$33+$D$76+$D$88)*C97,2)</f>
        <v>56.17</v>
      </c>
    </row>
    <row r="98" spans="1:6" x14ac:dyDescent="0.25">
      <c r="A98" s="8" t="s">
        <v>4</v>
      </c>
      <c r="B98" s="13" t="s">
        <v>78</v>
      </c>
      <c r="C98" s="20">
        <f>TRUNC(((2/30)/12),4)</f>
        <v>5.4999999999999997E-3</v>
      </c>
      <c r="D98" s="14">
        <f t="shared" si="1"/>
        <v>33.58</v>
      </c>
    </row>
    <row r="99" spans="1:6" x14ac:dyDescent="0.25">
      <c r="A99" s="8" t="s">
        <v>6</v>
      </c>
      <c r="B99" s="13" t="s">
        <v>79</v>
      </c>
      <c r="C99" s="20">
        <f>TRUNC(((5/30)/12)*2%,4)</f>
        <v>2.0000000000000001E-4</v>
      </c>
      <c r="D99" s="14">
        <f t="shared" si="1"/>
        <v>1.22</v>
      </c>
    </row>
    <row r="100" spans="1:6" x14ac:dyDescent="0.25">
      <c r="A100" s="8" t="s">
        <v>8</v>
      </c>
      <c r="B100" s="13" t="s">
        <v>80</v>
      </c>
      <c r="C100" s="20">
        <f>TRUNC(((15/30)/12)*8%,4)</f>
        <v>3.3E-3</v>
      </c>
      <c r="D100" s="14">
        <f t="shared" si="1"/>
        <v>20.149999999999999</v>
      </c>
    </row>
    <row r="101" spans="1:6" x14ac:dyDescent="0.25">
      <c r="A101" s="8" t="s">
        <v>31</v>
      </c>
      <c r="B101" s="13" t="s">
        <v>81</v>
      </c>
      <c r="C101" s="20">
        <f>((1+1/3)/12)*3%*(4/12)</f>
        <v>1.1111111111111109E-3</v>
      </c>
      <c r="D101" s="14">
        <f t="shared" si="1"/>
        <v>6.78</v>
      </c>
    </row>
    <row r="102" spans="1:6" x14ac:dyDescent="0.25">
      <c r="A102" s="8" t="s">
        <v>51</v>
      </c>
      <c r="B102" s="13" t="s">
        <v>82</v>
      </c>
      <c r="C102" s="20"/>
      <c r="D102" s="14">
        <f t="shared" si="1"/>
        <v>0</v>
      </c>
    </row>
    <row r="103" spans="1:6" ht="12.75" customHeight="1" x14ac:dyDescent="0.25">
      <c r="A103" s="110" t="s">
        <v>56</v>
      </c>
      <c r="B103" s="110"/>
      <c r="C103" s="110"/>
      <c r="D103" s="19">
        <f>SUM(D97:D102)</f>
        <v>117.9</v>
      </c>
      <c r="E103" s="26"/>
      <c r="F103" s="26"/>
    </row>
    <row r="106" spans="1:6" x14ac:dyDescent="0.25">
      <c r="A106" s="112" t="s">
        <v>83</v>
      </c>
      <c r="B106" s="112"/>
      <c r="C106" s="112"/>
      <c r="D106" s="112"/>
    </row>
    <row r="107" spans="1:6" x14ac:dyDescent="0.25">
      <c r="A107" s="16"/>
    </row>
    <row r="108" spans="1:6" ht="12.75" customHeight="1" x14ac:dyDescent="0.25">
      <c r="A108" s="12" t="s">
        <v>84</v>
      </c>
      <c r="B108" s="114" t="s">
        <v>85</v>
      </c>
      <c r="C108" s="114"/>
      <c r="D108" s="12" t="s">
        <v>26</v>
      </c>
    </row>
    <row r="109" spans="1:6" ht="12.75" customHeight="1" x14ac:dyDescent="0.25">
      <c r="A109" s="8" t="s">
        <v>2</v>
      </c>
      <c r="B109" s="111" t="s">
        <v>86</v>
      </c>
      <c r="C109" s="111"/>
      <c r="D109" s="14">
        <f>((D33+D76+D88)/220)*15*0</f>
        <v>0</v>
      </c>
    </row>
    <row r="110" spans="1:6" ht="12.75" customHeight="1" x14ac:dyDescent="0.25">
      <c r="A110" s="110" t="s">
        <v>35</v>
      </c>
      <c r="B110" s="110"/>
      <c r="C110" s="110"/>
      <c r="D110" s="19">
        <f>SUM(D109)</f>
        <v>0</v>
      </c>
    </row>
    <row r="113" spans="1:4" x14ac:dyDescent="0.25">
      <c r="A113" s="112" t="s">
        <v>87</v>
      </c>
      <c r="B113" s="112"/>
      <c r="C113" s="112"/>
      <c r="D113" s="112"/>
    </row>
    <row r="114" spans="1:4" x14ac:dyDescent="0.25">
      <c r="A114" s="16"/>
    </row>
    <row r="115" spans="1:4" ht="12.75" customHeight="1" x14ac:dyDescent="0.25">
      <c r="A115" s="12">
        <v>4</v>
      </c>
      <c r="B115" s="110" t="s">
        <v>88</v>
      </c>
      <c r="C115" s="110"/>
      <c r="D115" s="12" t="s">
        <v>26</v>
      </c>
    </row>
    <row r="116" spans="1:4" ht="12.75" customHeight="1" x14ac:dyDescent="0.25">
      <c r="A116" s="8" t="s">
        <v>75</v>
      </c>
      <c r="B116" s="111" t="s">
        <v>76</v>
      </c>
      <c r="C116" s="111"/>
      <c r="D116" s="23">
        <f>D103</f>
        <v>117.9</v>
      </c>
    </row>
    <row r="117" spans="1:4" ht="12.75" customHeight="1" x14ac:dyDescent="0.25">
      <c r="A117" s="8" t="s">
        <v>84</v>
      </c>
      <c r="B117" s="111" t="s">
        <v>85</v>
      </c>
      <c r="C117" s="111"/>
      <c r="D117" s="23">
        <f>D110</f>
        <v>0</v>
      </c>
    </row>
    <row r="118" spans="1:4" ht="12.75" customHeight="1" x14ac:dyDescent="0.25">
      <c r="A118" s="110" t="s">
        <v>35</v>
      </c>
      <c r="B118" s="110"/>
      <c r="C118" s="110"/>
      <c r="D118" s="19">
        <f>SUM(D116:D117)</f>
        <v>117.9</v>
      </c>
    </row>
    <row r="121" spans="1:4" x14ac:dyDescent="0.25">
      <c r="A121" s="105" t="s">
        <v>89</v>
      </c>
      <c r="B121" s="105"/>
      <c r="C121" s="105"/>
      <c r="D121" s="105"/>
    </row>
    <row r="123" spans="1:4" ht="12.75" customHeight="1" x14ac:dyDescent="0.25">
      <c r="A123" s="12">
        <v>5</v>
      </c>
      <c r="B123" s="115" t="s">
        <v>90</v>
      </c>
      <c r="C123" s="115"/>
      <c r="D123" s="12" t="s">
        <v>26</v>
      </c>
    </row>
    <row r="124" spans="1:4" x14ac:dyDescent="0.25">
      <c r="A124" s="8" t="s">
        <v>2</v>
      </c>
      <c r="B124" s="13" t="s">
        <v>91</v>
      </c>
      <c r="C124" s="13"/>
      <c r="D124" s="14">
        <v>75.349999999999994</v>
      </c>
    </row>
    <row r="125" spans="1:4" x14ac:dyDescent="0.25">
      <c r="A125" s="8" t="s">
        <v>4</v>
      </c>
      <c r="B125" s="13" t="s">
        <v>92</v>
      </c>
      <c r="C125" s="13"/>
      <c r="D125" s="14">
        <v>61.36</v>
      </c>
    </row>
    <row r="126" spans="1:4" x14ac:dyDescent="0.25">
      <c r="A126" s="8" t="s">
        <v>6</v>
      </c>
      <c r="B126" s="13" t="s">
        <v>93</v>
      </c>
      <c r="C126" s="13"/>
      <c r="D126" s="14">
        <v>40.22</v>
      </c>
    </row>
    <row r="127" spans="1:4" x14ac:dyDescent="0.25">
      <c r="A127" s="8" t="s">
        <v>8</v>
      </c>
      <c r="B127" s="13" t="s">
        <v>34</v>
      </c>
      <c r="C127" s="13"/>
      <c r="D127" s="14"/>
    </row>
    <row r="128" spans="1:4" ht="12.75" customHeight="1" x14ac:dyDescent="0.25">
      <c r="A128" s="110" t="s">
        <v>56</v>
      </c>
      <c r="B128" s="110"/>
      <c r="C128" s="110"/>
      <c r="D128" s="15">
        <f>SUM(D124:D127)</f>
        <v>176.92999999999998</v>
      </c>
    </row>
    <row r="131" spans="1:4" x14ac:dyDescent="0.25">
      <c r="A131" s="105" t="s">
        <v>94</v>
      </c>
      <c r="B131" s="105"/>
      <c r="C131" s="105"/>
      <c r="D131" s="105"/>
    </row>
    <row r="133" spans="1:4" x14ac:dyDescent="0.25">
      <c r="A133" s="12">
        <v>6</v>
      </c>
      <c r="B133" s="28" t="s">
        <v>95</v>
      </c>
      <c r="C133" s="12" t="s">
        <v>45</v>
      </c>
      <c r="D133" s="12" t="s">
        <v>26</v>
      </c>
    </row>
    <row r="134" spans="1:4" x14ac:dyDescent="0.25">
      <c r="A134" s="8" t="s">
        <v>2</v>
      </c>
      <c r="B134" s="13" t="s">
        <v>96</v>
      </c>
      <c r="C134" s="20">
        <v>0.05</v>
      </c>
      <c r="D134" s="23">
        <f>D154*C134</f>
        <v>320.04830227272731</v>
      </c>
    </row>
    <row r="135" spans="1:4" x14ac:dyDescent="0.25">
      <c r="A135" s="8" t="s">
        <v>4</v>
      </c>
      <c r="B135" s="13" t="s">
        <v>97</v>
      </c>
      <c r="C135" s="20">
        <v>0.06</v>
      </c>
      <c r="D135" s="14">
        <f>(D154+D134)*C135</f>
        <v>403.26086086363637</v>
      </c>
    </row>
    <row r="136" spans="1:4" x14ac:dyDescent="0.25">
      <c r="A136" s="8" t="s">
        <v>6</v>
      </c>
      <c r="B136" s="13" t="s">
        <v>98</v>
      </c>
      <c r="C136" s="17">
        <f>SUM(C137:C142)</f>
        <v>8.6499999999999994E-2</v>
      </c>
      <c r="D136" s="14">
        <f>(D154+D134+D135)*C136/(1-C136)</f>
        <v>674.60296173301992</v>
      </c>
    </row>
    <row r="137" spans="1:4" x14ac:dyDescent="0.25">
      <c r="A137" s="8"/>
      <c r="B137" s="13" t="s">
        <v>99</v>
      </c>
      <c r="C137" s="20"/>
      <c r="D137" s="23">
        <f t="shared" ref="D137:D142" si="2">$D$156*C137</f>
        <v>0</v>
      </c>
    </row>
    <row r="138" spans="1:4" x14ac:dyDescent="0.25">
      <c r="A138" s="8"/>
      <c r="B138" s="13" t="s">
        <v>100</v>
      </c>
      <c r="C138" s="20">
        <v>6.4999999999999997E-3</v>
      </c>
      <c r="D138" s="23">
        <f t="shared" si="2"/>
        <v>50.692708107105538</v>
      </c>
    </row>
    <row r="139" spans="1:4" x14ac:dyDescent="0.25">
      <c r="A139" s="8"/>
      <c r="B139" s="13" t="s">
        <v>101</v>
      </c>
      <c r="C139" s="20">
        <v>0.03</v>
      </c>
      <c r="D139" s="23">
        <f t="shared" si="2"/>
        <v>233.96634510971788</v>
      </c>
    </row>
    <row r="140" spans="1:4" x14ac:dyDescent="0.25">
      <c r="A140" s="8"/>
      <c r="B140" s="13" t="s">
        <v>102</v>
      </c>
      <c r="C140" s="65"/>
      <c r="D140" s="23">
        <f t="shared" si="2"/>
        <v>0</v>
      </c>
    </row>
    <row r="141" spans="1:4" x14ac:dyDescent="0.25">
      <c r="A141" s="8"/>
      <c r="B141" s="13" t="s">
        <v>103</v>
      </c>
      <c r="C141" s="20"/>
      <c r="D141" s="23">
        <f t="shared" si="2"/>
        <v>0</v>
      </c>
    </row>
    <row r="142" spans="1:4" x14ac:dyDescent="0.25">
      <c r="A142" s="8"/>
      <c r="B142" s="13" t="s">
        <v>104</v>
      </c>
      <c r="C142" s="20">
        <v>0.05</v>
      </c>
      <c r="D142" s="23">
        <f t="shared" si="2"/>
        <v>389.94390851619647</v>
      </c>
    </row>
    <row r="143" spans="1:4" ht="13.5" customHeight="1" x14ac:dyDescent="0.25">
      <c r="A143" s="116" t="s">
        <v>56</v>
      </c>
      <c r="B143" s="116"/>
      <c r="C143" s="29">
        <f>ROUND((1+C135)*(1+C134)/(1-C136)-1,4)</f>
        <v>0.21840000000000001</v>
      </c>
      <c r="D143" s="19">
        <f>SUM(D134:D136)</f>
        <v>1397.9121248693837</v>
      </c>
    </row>
    <row r="146" spans="1:4" x14ac:dyDescent="0.25">
      <c r="A146" s="105" t="s">
        <v>105</v>
      </c>
      <c r="B146" s="105"/>
      <c r="C146" s="105"/>
      <c r="D146" s="105"/>
    </row>
    <row r="148" spans="1:4" ht="12.75" customHeight="1" x14ac:dyDescent="0.25">
      <c r="A148" s="12"/>
      <c r="B148" s="110" t="s">
        <v>106</v>
      </c>
      <c r="C148" s="110"/>
      <c r="D148" s="12" t="s">
        <v>26</v>
      </c>
    </row>
    <row r="149" spans="1:4" ht="12.75" customHeight="1" x14ac:dyDescent="0.25">
      <c r="A149" s="12" t="s">
        <v>2</v>
      </c>
      <c r="B149" s="111" t="s">
        <v>24</v>
      </c>
      <c r="C149" s="111"/>
      <c r="D149" s="30">
        <f>D33</f>
        <v>3412.2708454545455</v>
      </c>
    </row>
    <row r="150" spans="1:4" ht="12.75" customHeight="1" x14ac:dyDescent="0.25">
      <c r="A150" s="12" t="s">
        <v>4</v>
      </c>
      <c r="B150" s="111" t="s">
        <v>36</v>
      </c>
      <c r="C150" s="111"/>
      <c r="D150" s="30">
        <f>D76</f>
        <v>2483.7052000000003</v>
      </c>
    </row>
    <row r="151" spans="1:4" ht="12.75" customHeight="1" x14ac:dyDescent="0.25">
      <c r="A151" s="12" t="s">
        <v>6</v>
      </c>
      <c r="B151" s="111" t="s">
        <v>65</v>
      </c>
      <c r="C151" s="111"/>
      <c r="D151" s="30">
        <f>D88</f>
        <v>210.16000000000003</v>
      </c>
    </row>
    <row r="152" spans="1:4" ht="12.75" customHeight="1" x14ac:dyDescent="0.25">
      <c r="A152" s="12" t="s">
        <v>8</v>
      </c>
      <c r="B152" s="111" t="s">
        <v>73</v>
      </c>
      <c r="C152" s="111"/>
      <c r="D152" s="30">
        <f>D118</f>
        <v>117.9</v>
      </c>
    </row>
    <row r="153" spans="1:4" ht="12.75" customHeight="1" x14ac:dyDescent="0.25">
      <c r="A153" s="12" t="s">
        <v>31</v>
      </c>
      <c r="B153" s="111" t="s">
        <v>89</v>
      </c>
      <c r="C153" s="111"/>
      <c r="D153" s="30">
        <f>D128</f>
        <v>176.92999999999998</v>
      </c>
    </row>
    <row r="154" spans="1:4" ht="12.75" customHeight="1" x14ac:dyDescent="0.25">
      <c r="A154" s="110" t="s">
        <v>107</v>
      </c>
      <c r="B154" s="110"/>
      <c r="C154" s="110"/>
      <c r="D154" s="31">
        <f>SUM(D149:D153)</f>
        <v>6400.9660454545456</v>
      </c>
    </row>
    <row r="155" spans="1:4" ht="12.75" customHeight="1" x14ac:dyDescent="0.25">
      <c r="A155" s="12" t="s">
        <v>51</v>
      </c>
      <c r="B155" s="111" t="s">
        <v>108</v>
      </c>
      <c r="C155" s="111"/>
      <c r="D155" s="32">
        <f>D143</f>
        <v>1397.9121248693837</v>
      </c>
    </row>
    <row r="156" spans="1:4" ht="12.75" customHeight="1" x14ac:dyDescent="0.25">
      <c r="A156" s="110" t="s">
        <v>109</v>
      </c>
      <c r="B156" s="110"/>
      <c r="C156" s="110"/>
      <c r="D156" s="31">
        <f>SUM(D154:D155)</f>
        <v>7798.8781703239292</v>
      </c>
    </row>
  </sheetData>
  <mergeCells count="71">
    <mergeCell ref="A156:C156"/>
    <mergeCell ref="B151:C151"/>
    <mergeCell ref="B152:C152"/>
    <mergeCell ref="B153:C153"/>
    <mergeCell ref="A154:C154"/>
    <mergeCell ref="B155:C155"/>
    <mergeCell ref="A143:B143"/>
    <mergeCell ref="A146:D146"/>
    <mergeCell ref="B148:C148"/>
    <mergeCell ref="B149:C149"/>
    <mergeCell ref="B150:C150"/>
    <mergeCell ref="A118:C118"/>
    <mergeCell ref="A121:D121"/>
    <mergeCell ref="B123:C123"/>
    <mergeCell ref="A128:C128"/>
    <mergeCell ref="A131:D131"/>
    <mergeCell ref="A110:C110"/>
    <mergeCell ref="A113:D113"/>
    <mergeCell ref="B115:C115"/>
    <mergeCell ref="B116:C116"/>
    <mergeCell ref="B117:C117"/>
    <mergeCell ref="B96:C96"/>
    <mergeCell ref="A103:C103"/>
    <mergeCell ref="A106:D106"/>
    <mergeCell ref="B108:C108"/>
    <mergeCell ref="B109:C109"/>
    <mergeCell ref="A79:D79"/>
    <mergeCell ref="B81:C81"/>
    <mergeCell ref="A88:C88"/>
    <mergeCell ref="A91:D91"/>
    <mergeCell ref="A94:D94"/>
    <mergeCell ref="B72:C72"/>
    <mergeCell ref="B73:C73"/>
    <mergeCell ref="B74:C74"/>
    <mergeCell ref="B75:C75"/>
    <mergeCell ref="A76:C76"/>
    <mergeCell ref="B64:C64"/>
    <mergeCell ref="B65:C65"/>
    <mergeCell ref="B66:C66"/>
    <mergeCell ref="A67:C67"/>
    <mergeCell ref="A70:D70"/>
    <mergeCell ref="A46:D46"/>
    <mergeCell ref="A57:B57"/>
    <mergeCell ref="A60:D60"/>
    <mergeCell ref="B62:C62"/>
    <mergeCell ref="B63:C63"/>
    <mergeCell ref="A33:C33"/>
    <mergeCell ref="A36:D36"/>
    <mergeCell ref="A38:D38"/>
    <mergeCell ref="B40:C40"/>
    <mergeCell ref="A43:B43"/>
    <mergeCell ref="B28:C28"/>
    <mergeCell ref="B29:C29"/>
    <mergeCell ref="B30:C30"/>
    <mergeCell ref="B31:C31"/>
    <mergeCell ref="B32:C32"/>
    <mergeCell ref="C21:D21"/>
    <mergeCell ref="A23:D23"/>
    <mergeCell ref="B25:C25"/>
    <mergeCell ref="B26:C26"/>
    <mergeCell ref="B27:C27"/>
    <mergeCell ref="A15:D15"/>
    <mergeCell ref="C17:D17"/>
    <mergeCell ref="C18:D18"/>
    <mergeCell ref="C19:D19"/>
    <mergeCell ref="C20:D20"/>
    <mergeCell ref="A1:D1"/>
    <mergeCell ref="A3:D3"/>
    <mergeCell ref="A10:D10"/>
    <mergeCell ref="A12:B12"/>
    <mergeCell ref="A13:B13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6"/>
  <sheetViews>
    <sheetView topLeftCell="A25" zoomScale="115" zoomScaleNormal="115" workbookViewId="0">
      <selection activeCell="D127" sqref="D127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104" t="s">
        <v>0</v>
      </c>
      <c r="B1" s="104"/>
      <c r="C1" s="104"/>
      <c r="D1" s="104"/>
    </row>
    <row r="2" spans="1:4" ht="15.75" x14ac:dyDescent="0.25">
      <c r="A2" s="2"/>
      <c r="B2" s="2"/>
      <c r="C2" s="2"/>
      <c r="D2" s="2"/>
    </row>
    <row r="3" spans="1:4" x14ac:dyDescent="0.25">
      <c r="A3" s="105" t="s">
        <v>1</v>
      </c>
      <c r="B3" s="105"/>
      <c r="C3" s="105"/>
      <c r="D3" s="105"/>
    </row>
    <row r="4" spans="1:4" x14ac:dyDescent="0.25">
      <c r="A4" s="3"/>
      <c r="B4" s="3"/>
      <c r="C4" s="3"/>
      <c r="D4" s="3"/>
    </row>
    <row r="5" spans="1:4" x14ac:dyDescent="0.25">
      <c r="A5" s="4" t="s">
        <v>2</v>
      </c>
      <c r="B5" s="5" t="s">
        <v>3</v>
      </c>
      <c r="C5" s="6"/>
      <c r="D5" s="7"/>
    </row>
    <row r="6" spans="1:4" x14ac:dyDescent="0.25">
      <c r="A6" s="4" t="s">
        <v>4</v>
      </c>
      <c r="B6" s="5" t="s">
        <v>5</v>
      </c>
      <c r="C6" s="6"/>
      <c r="D6" s="7"/>
    </row>
    <row r="7" spans="1:4" x14ac:dyDescent="0.25">
      <c r="A7" s="4" t="s">
        <v>6</v>
      </c>
      <c r="B7" s="5" t="s">
        <v>7</v>
      </c>
      <c r="C7" s="6"/>
      <c r="D7" s="7"/>
    </row>
    <row r="8" spans="1:4" x14ac:dyDescent="0.25">
      <c r="A8" s="4" t="s">
        <v>8</v>
      </c>
      <c r="B8" s="5" t="s">
        <v>9</v>
      </c>
      <c r="C8" s="6"/>
      <c r="D8" s="7">
        <v>24</v>
      </c>
    </row>
    <row r="10" spans="1:4" x14ac:dyDescent="0.25">
      <c r="A10" s="105" t="s">
        <v>10</v>
      </c>
      <c r="B10" s="105"/>
      <c r="C10" s="105"/>
      <c r="D10" s="105"/>
    </row>
    <row r="11" spans="1:4" x14ac:dyDescent="0.25">
      <c r="A11" s="3"/>
      <c r="B11" s="3"/>
      <c r="C11" s="3"/>
      <c r="D11" s="3"/>
    </row>
    <row r="12" spans="1:4" ht="38.25" customHeight="1" x14ac:dyDescent="0.25">
      <c r="A12" s="106" t="s">
        <v>11</v>
      </c>
      <c r="B12" s="106"/>
      <c r="C12" s="8" t="s">
        <v>12</v>
      </c>
      <c r="D12" s="9" t="s">
        <v>13</v>
      </c>
    </row>
    <row r="13" spans="1:4" s="11" customFormat="1" ht="12.75" x14ac:dyDescent="0.2">
      <c r="A13" s="107" t="s">
        <v>192</v>
      </c>
      <c r="B13" s="107"/>
      <c r="C13" s="10" t="s">
        <v>15</v>
      </c>
      <c r="D13" s="10">
        <v>3</v>
      </c>
    </row>
    <row r="15" spans="1:4" x14ac:dyDescent="0.25">
      <c r="A15" s="105" t="s">
        <v>16</v>
      </c>
      <c r="B15" s="105"/>
      <c r="C15" s="105"/>
      <c r="D15" s="105"/>
    </row>
    <row r="16" spans="1:4" x14ac:dyDescent="0.25">
      <c r="A16" s="3"/>
      <c r="B16" s="3"/>
      <c r="C16" s="3"/>
      <c r="D16" s="3"/>
    </row>
    <row r="17" spans="1:4" x14ac:dyDescent="0.25">
      <c r="A17" s="4">
        <v>1</v>
      </c>
      <c r="B17" s="4" t="s">
        <v>17</v>
      </c>
      <c r="C17" s="108" t="s">
        <v>128</v>
      </c>
      <c r="D17" s="108"/>
    </row>
    <row r="18" spans="1:4" x14ac:dyDescent="0.25">
      <c r="A18" s="4">
        <v>2</v>
      </c>
      <c r="B18" s="4" t="s">
        <v>19</v>
      </c>
      <c r="C18" s="108" t="s">
        <v>129</v>
      </c>
      <c r="D18" s="108"/>
    </row>
    <row r="19" spans="1:4" x14ac:dyDescent="0.25">
      <c r="A19" s="4">
        <v>3</v>
      </c>
      <c r="B19" s="4" t="s">
        <v>21</v>
      </c>
      <c r="C19" s="108">
        <v>1400.22</v>
      </c>
      <c r="D19" s="108"/>
    </row>
    <row r="20" spans="1:4" x14ac:dyDescent="0.25">
      <c r="A20" s="4">
        <v>4</v>
      </c>
      <c r="B20" s="4" t="s">
        <v>22</v>
      </c>
      <c r="C20" s="108" t="s">
        <v>196</v>
      </c>
      <c r="D20" s="108"/>
    </row>
    <row r="21" spans="1:4" x14ac:dyDescent="0.25">
      <c r="A21" s="4">
        <v>5</v>
      </c>
      <c r="B21" s="4" t="s">
        <v>23</v>
      </c>
      <c r="C21" s="108"/>
      <c r="D21" s="108"/>
    </row>
    <row r="23" spans="1:4" x14ac:dyDescent="0.25">
      <c r="A23" s="105" t="s">
        <v>24</v>
      </c>
      <c r="B23" s="105"/>
      <c r="C23" s="105"/>
      <c r="D23" s="105"/>
    </row>
    <row r="25" spans="1:4" ht="12.75" customHeight="1" x14ac:dyDescent="0.25">
      <c r="A25" s="12">
        <v>1</v>
      </c>
      <c r="B25" s="110" t="s">
        <v>25</v>
      </c>
      <c r="C25" s="110"/>
      <c r="D25" s="12" t="s">
        <v>26</v>
      </c>
    </row>
    <row r="26" spans="1:4" ht="12.75" customHeight="1" x14ac:dyDescent="0.25">
      <c r="A26" s="8" t="s">
        <v>2</v>
      </c>
      <c r="B26" s="111" t="s">
        <v>27</v>
      </c>
      <c r="C26" s="111"/>
      <c r="D26" s="14">
        <v>1400.22</v>
      </c>
    </row>
    <row r="27" spans="1:4" ht="12.75" customHeight="1" x14ac:dyDescent="0.25">
      <c r="A27" s="8" t="s">
        <v>4</v>
      </c>
      <c r="B27" s="111" t="s">
        <v>28</v>
      </c>
      <c r="C27" s="111"/>
      <c r="D27" s="14"/>
    </row>
    <row r="28" spans="1:4" ht="12.75" customHeight="1" x14ac:dyDescent="0.25">
      <c r="A28" s="8" t="s">
        <v>6</v>
      </c>
      <c r="B28" s="111" t="s">
        <v>29</v>
      </c>
      <c r="C28" s="111"/>
      <c r="D28" s="14">
        <f>D26*0.2</f>
        <v>280.04400000000004</v>
      </c>
    </row>
    <row r="29" spans="1:4" ht="12.75" customHeight="1" x14ac:dyDescent="0.25">
      <c r="A29" s="8" t="s">
        <v>8</v>
      </c>
      <c r="B29" s="111" t="s">
        <v>30</v>
      </c>
      <c r="C29" s="111"/>
      <c r="D29" s="14"/>
    </row>
    <row r="30" spans="1:4" ht="12.75" customHeight="1" x14ac:dyDescent="0.25">
      <c r="A30" s="8" t="s">
        <v>31</v>
      </c>
      <c r="B30" s="111" t="s">
        <v>32</v>
      </c>
      <c r="C30" s="111"/>
      <c r="D30" s="14"/>
    </row>
    <row r="31" spans="1:4" x14ac:dyDescent="0.25">
      <c r="A31" s="8"/>
      <c r="B31" s="111"/>
      <c r="C31" s="111"/>
      <c r="D31" s="14"/>
    </row>
    <row r="32" spans="1:4" ht="12.75" customHeight="1" x14ac:dyDescent="0.25">
      <c r="A32" s="8" t="s">
        <v>33</v>
      </c>
      <c r="B32" s="111" t="s">
        <v>34</v>
      </c>
      <c r="C32" s="111"/>
      <c r="D32" s="14"/>
    </row>
    <row r="33" spans="1:4" ht="12.75" customHeight="1" x14ac:dyDescent="0.25">
      <c r="A33" s="110" t="s">
        <v>35</v>
      </c>
      <c r="B33" s="110"/>
      <c r="C33" s="110"/>
      <c r="D33" s="15">
        <f>SUM(D26:D32)</f>
        <v>1680.2640000000001</v>
      </c>
    </row>
    <row r="36" spans="1:4" x14ac:dyDescent="0.25">
      <c r="A36" s="105" t="s">
        <v>36</v>
      </c>
      <c r="B36" s="105"/>
      <c r="C36" s="105"/>
      <c r="D36" s="105"/>
    </row>
    <row r="37" spans="1:4" x14ac:dyDescent="0.25">
      <c r="A37" s="16"/>
    </row>
    <row r="38" spans="1:4" x14ac:dyDescent="0.25">
      <c r="A38" s="112" t="s">
        <v>37</v>
      </c>
      <c r="B38" s="112"/>
      <c r="C38" s="112"/>
      <c r="D38" s="112"/>
    </row>
    <row r="40" spans="1:4" ht="12.75" customHeight="1" x14ac:dyDescent="0.25">
      <c r="A40" s="12" t="s">
        <v>38</v>
      </c>
      <c r="B40" s="110" t="s">
        <v>39</v>
      </c>
      <c r="C40" s="110"/>
      <c r="D40" s="12" t="s">
        <v>26</v>
      </c>
    </row>
    <row r="41" spans="1:4" x14ac:dyDescent="0.25">
      <c r="A41" s="8" t="s">
        <v>2</v>
      </c>
      <c r="B41" s="13" t="s">
        <v>40</v>
      </c>
      <c r="C41" s="17">
        <f>TRUNC(1/12,4)</f>
        <v>8.3299999999999999E-2</v>
      </c>
      <c r="D41" s="14">
        <f>TRUNC($D$33*C41,2)</f>
        <v>139.96</v>
      </c>
    </row>
    <row r="42" spans="1:4" x14ac:dyDescent="0.25">
      <c r="A42" s="8" t="s">
        <v>4</v>
      </c>
      <c r="B42" s="13" t="s">
        <v>41</v>
      </c>
      <c r="C42" s="17">
        <f>TRUNC(((1+1/3)/12),4)</f>
        <v>0.1111</v>
      </c>
      <c r="D42" s="14">
        <f>TRUNC($D$33*C42,2)</f>
        <v>186.67</v>
      </c>
    </row>
    <row r="43" spans="1:4" ht="12.75" customHeight="1" x14ac:dyDescent="0.25">
      <c r="A43" s="110" t="s">
        <v>35</v>
      </c>
      <c r="B43" s="110"/>
      <c r="C43" s="18">
        <f>SUM(C41:C42)</f>
        <v>0.19440000000000002</v>
      </c>
      <c r="D43" s="19">
        <f>SUM(D41:D42)</f>
        <v>326.63</v>
      </c>
    </row>
    <row r="46" spans="1:4" ht="12.75" customHeight="1" x14ac:dyDescent="0.25">
      <c r="A46" s="113" t="s">
        <v>42</v>
      </c>
      <c r="B46" s="113"/>
      <c r="C46" s="113"/>
      <c r="D46" s="113"/>
    </row>
    <row r="48" spans="1:4" x14ac:dyDescent="0.25">
      <c r="A48" s="12" t="s">
        <v>43</v>
      </c>
      <c r="B48" s="12" t="s">
        <v>44</v>
      </c>
      <c r="C48" s="12" t="s">
        <v>45</v>
      </c>
      <c r="D48" s="12" t="s">
        <v>26</v>
      </c>
    </row>
    <row r="49" spans="1:4" x14ac:dyDescent="0.25">
      <c r="A49" s="8" t="s">
        <v>2</v>
      </c>
      <c r="B49" s="13" t="s">
        <v>46</v>
      </c>
      <c r="C49" s="20">
        <v>0.2</v>
      </c>
      <c r="D49" s="14">
        <f t="shared" ref="D49:D56" si="0">TRUNC(($D$33+$D$43)*C49,2)</f>
        <v>401.37</v>
      </c>
    </row>
    <row r="50" spans="1:4" x14ac:dyDescent="0.25">
      <c r="A50" s="8" t="s">
        <v>4</v>
      </c>
      <c r="B50" s="13" t="s">
        <v>47</v>
      </c>
      <c r="C50" s="20">
        <v>2.5000000000000001E-2</v>
      </c>
      <c r="D50" s="14">
        <f t="shared" si="0"/>
        <v>50.17</v>
      </c>
    </row>
    <row r="51" spans="1:4" x14ac:dyDescent="0.25">
      <c r="A51" s="8" t="s">
        <v>6</v>
      </c>
      <c r="B51" s="13" t="s">
        <v>48</v>
      </c>
      <c r="C51" s="21">
        <v>0.03</v>
      </c>
      <c r="D51" s="14">
        <f t="shared" si="0"/>
        <v>60.2</v>
      </c>
    </row>
    <row r="52" spans="1:4" x14ac:dyDescent="0.25">
      <c r="A52" s="8" t="s">
        <v>8</v>
      </c>
      <c r="B52" s="13" t="s">
        <v>49</v>
      </c>
      <c r="C52" s="20">
        <v>1.4999999999999999E-2</v>
      </c>
      <c r="D52" s="14">
        <f t="shared" si="0"/>
        <v>30.1</v>
      </c>
    </row>
    <row r="53" spans="1:4" x14ac:dyDescent="0.25">
      <c r="A53" s="8" t="s">
        <v>31</v>
      </c>
      <c r="B53" s="13" t="s">
        <v>50</v>
      </c>
      <c r="C53" s="20">
        <v>0.01</v>
      </c>
      <c r="D53" s="14">
        <f t="shared" si="0"/>
        <v>20.059999999999999</v>
      </c>
    </row>
    <row r="54" spans="1:4" x14ac:dyDescent="0.25">
      <c r="A54" s="8" t="s">
        <v>51</v>
      </c>
      <c r="B54" s="13" t="s">
        <v>52</v>
      </c>
      <c r="C54" s="20">
        <v>6.0000000000000001E-3</v>
      </c>
      <c r="D54" s="14">
        <f t="shared" si="0"/>
        <v>12.04</v>
      </c>
    </row>
    <row r="55" spans="1:4" x14ac:dyDescent="0.25">
      <c r="A55" s="8" t="s">
        <v>33</v>
      </c>
      <c r="B55" s="13" t="s">
        <v>53</v>
      </c>
      <c r="C55" s="20">
        <v>2E-3</v>
      </c>
      <c r="D55" s="14">
        <f t="shared" si="0"/>
        <v>4.01</v>
      </c>
    </row>
    <row r="56" spans="1:4" x14ac:dyDescent="0.25">
      <c r="A56" s="8" t="s">
        <v>54</v>
      </c>
      <c r="B56" s="13" t="s">
        <v>55</v>
      </c>
      <c r="C56" s="20">
        <v>0.08</v>
      </c>
      <c r="D56" s="14">
        <f t="shared" si="0"/>
        <v>160.55000000000001</v>
      </c>
    </row>
    <row r="57" spans="1:4" ht="12.75" customHeight="1" x14ac:dyDescent="0.25">
      <c r="A57" s="110" t="s">
        <v>56</v>
      </c>
      <c r="B57" s="110"/>
      <c r="C57" s="22">
        <f>SUM(C49:C56)</f>
        <v>0.36800000000000005</v>
      </c>
      <c r="D57" s="19">
        <f>SUM(D49:D56)</f>
        <v>738.5</v>
      </c>
    </row>
    <row r="60" spans="1:4" x14ac:dyDescent="0.25">
      <c r="A60" s="112" t="s">
        <v>57</v>
      </c>
      <c r="B60" s="112"/>
      <c r="C60" s="112"/>
      <c r="D60" s="112"/>
    </row>
    <row r="62" spans="1:4" ht="12.75" customHeight="1" x14ac:dyDescent="0.25">
      <c r="A62" s="12" t="s">
        <v>58</v>
      </c>
      <c r="B62" s="114" t="s">
        <v>59</v>
      </c>
      <c r="C62" s="114"/>
      <c r="D62" s="12" t="s">
        <v>26</v>
      </c>
    </row>
    <row r="63" spans="1:4" ht="12.75" customHeight="1" x14ac:dyDescent="0.25">
      <c r="A63" s="8" t="s">
        <v>2</v>
      </c>
      <c r="B63" s="111" t="s">
        <v>60</v>
      </c>
      <c r="C63" s="111"/>
      <c r="D63" s="14">
        <f>IF((26*2*4.9)&gt;(D26*0.06),(26*2*4.9)-(D26*0.06),0)</f>
        <v>170.78680000000003</v>
      </c>
    </row>
    <row r="64" spans="1:4" ht="12.75" customHeight="1" x14ac:dyDescent="0.25">
      <c r="A64" s="8" t="s">
        <v>4</v>
      </c>
      <c r="B64" s="111" t="s">
        <v>61</v>
      </c>
      <c r="C64" s="111"/>
      <c r="D64" s="14">
        <f>22*20.49*0.95</f>
        <v>428.24099999999993</v>
      </c>
    </row>
    <row r="65" spans="1:5" ht="12.75" customHeight="1" x14ac:dyDescent="0.25">
      <c r="A65" s="8" t="s">
        <v>6</v>
      </c>
      <c r="B65" s="111" t="s">
        <v>62</v>
      </c>
      <c r="C65" s="111"/>
      <c r="D65" s="14"/>
    </row>
    <row r="66" spans="1:5" ht="12.75" customHeight="1" x14ac:dyDescent="0.25">
      <c r="A66" s="8" t="s">
        <v>8</v>
      </c>
      <c r="B66" s="111" t="s">
        <v>34</v>
      </c>
      <c r="C66" s="111"/>
      <c r="D66" s="14"/>
    </row>
    <row r="67" spans="1:5" ht="12.75" customHeight="1" x14ac:dyDescent="0.25">
      <c r="A67" s="110" t="s">
        <v>35</v>
      </c>
      <c r="B67" s="110"/>
      <c r="C67" s="110"/>
      <c r="D67" s="19">
        <f>SUM(D63:D66)</f>
        <v>599.02779999999996</v>
      </c>
    </row>
    <row r="70" spans="1:5" x14ac:dyDescent="0.25">
      <c r="A70" s="112" t="s">
        <v>63</v>
      </c>
      <c r="B70" s="112"/>
      <c r="C70" s="112"/>
      <c r="D70" s="112"/>
    </row>
    <row r="72" spans="1:5" ht="12.75" customHeight="1" x14ac:dyDescent="0.25">
      <c r="A72" s="12">
        <v>2</v>
      </c>
      <c r="B72" s="114" t="s">
        <v>64</v>
      </c>
      <c r="C72" s="114"/>
      <c r="D72" s="12" t="s">
        <v>26</v>
      </c>
    </row>
    <row r="73" spans="1:5" ht="12.75" customHeight="1" x14ac:dyDescent="0.25">
      <c r="A73" s="8" t="s">
        <v>38</v>
      </c>
      <c r="B73" s="111" t="s">
        <v>39</v>
      </c>
      <c r="C73" s="111"/>
      <c r="D73" s="23">
        <f>D43</f>
        <v>326.63</v>
      </c>
    </row>
    <row r="74" spans="1:5" ht="12.75" customHeight="1" x14ac:dyDescent="0.25">
      <c r="A74" s="8" t="s">
        <v>43</v>
      </c>
      <c r="B74" s="111" t="s">
        <v>44</v>
      </c>
      <c r="C74" s="111"/>
      <c r="D74" s="23">
        <f>D57</f>
        <v>738.5</v>
      </c>
    </row>
    <row r="75" spans="1:5" ht="12.75" customHeight="1" x14ac:dyDescent="0.25">
      <c r="A75" s="8" t="s">
        <v>58</v>
      </c>
      <c r="B75" s="111" t="s">
        <v>59</v>
      </c>
      <c r="C75" s="111"/>
      <c r="D75" s="23">
        <f>D67</f>
        <v>599.02779999999996</v>
      </c>
    </row>
    <row r="76" spans="1:5" ht="12.75" customHeight="1" x14ac:dyDescent="0.25">
      <c r="A76" s="110" t="s">
        <v>35</v>
      </c>
      <c r="B76" s="110"/>
      <c r="C76" s="110"/>
      <c r="D76" s="19">
        <f>SUM(D73:D75)</f>
        <v>1664.1578</v>
      </c>
    </row>
    <row r="77" spans="1:5" x14ac:dyDescent="0.25">
      <c r="A77" s="24"/>
      <c r="E77" s="25"/>
    </row>
    <row r="79" spans="1:5" x14ac:dyDescent="0.25">
      <c r="A79" s="105" t="s">
        <v>65</v>
      </c>
      <c r="B79" s="105"/>
      <c r="C79" s="105"/>
      <c r="D79" s="105"/>
      <c r="E79" s="26"/>
    </row>
    <row r="80" spans="1:5" ht="12.75" customHeight="1" x14ac:dyDescent="0.25">
      <c r="E80" s="25"/>
    </row>
    <row r="81" spans="1:4" ht="12.75" customHeight="1" x14ac:dyDescent="0.25">
      <c r="A81" s="12">
        <v>3</v>
      </c>
      <c r="B81" s="114" t="s">
        <v>66</v>
      </c>
      <c r="C81" s="114"/>
      <c r="D81" s="12" t="s">
        <v>26</v>
      </c>
    </row>
    <row r="82" spans="1:4" x14ac:dyDescent="0.25">
      <c r="A82" s="8" t="s">
        <v>2</v>
      </c>
      <c r="B82" s="27" t="s">
        <v>67</v>
      </c>
      <c r="C82" s="20">
        <f>TRUNC(((1/12)*5%),4)</f>
        <v>4.1000000000000003E-3</v>
      </c>
      <c r="D82" s="14">
        <f>TRUNC($D$33*C82,2)</f>
        <v>6.88</v>
      </c>
    </row>
    <row r="83" spans="1:4" x14ac:dyDescent="0.25">
      <c r="A83" s="8" t="s">
        <v>4</v>
      </c>
      <c r="B83" s="27" t="s">
        <v>68</v>
      </c>
      <c r="C83" s="20">
        <v>0.08</v>
      </c>
      <c r="D83" s="14">
        <f>TRUNC(D82*C83,2)</f>
        <v>0.55000000000000004</v>
      </c>
    </row>
    <row r="84" spans="1:4" x14ac:dyDescent="0.25">
      <c r="A84" s="8" t="s">
        <v>6</v>
      </c>
      <c r="B84" s="27" t="s">
        <v>69</v>
      </c>
      <c r="C84" s="20">
        <f>TRUNC(8%*5%*40%,4)</f>
        <v>1.6000000000000001E-3</v>
      </c>
      <c r="D84" s="14">
        <f>TRUNC($D$33*C84,2)</f>
        <v>2.68</v>
      </c>
    </row>
    <row r="85" spans="1:4" x14ac:dyDescent="0.25">
      <c r="A85" s="8" t="s">
        <v>8</v>
      </c>
      <c r="B85" s="27" t="s">
        <v>70</v>
      </c>
      <c r="C85" s="20">
        <f>TRUNC(((7/30)/12)*95%,4)</f>
        <v>1.84E-2</v>
      </c>
      <c r="D85" s="14">
        <f>TRUNC($D$33*C85,2)</f>
        <v>30.91</v>
      </c>
    </row>
    <row r="86" spans="1:4" ht="25.5" x14ac:dyDescent="0.25">
      <c r="A86" s="8" t="s">
        <v>31</v>
      </c>
      <c r="B86" s="27" t="s">
        <v>71</v>
      </c>
      <c r="C86" s="20">
        <f>C57</f>
        <v>0.36800000000000005</v>
      </c>
      <c r="D86" s="14">
        <f>TRUNC(D85*C86,2)</f>
        <v>11.37</v>
      </c>
    </row>
    <row r="87" spans="1:4" x14ac:dyDescent="0.25">
      <c r="A87" s="8" t="s">
        <v>51</v>
      </c>
      <c r="B87" s="27" t="s">
        <v>72</v>
      </c>
      <c r="C87" s="20">
        <f>TRUNC(8%*95%*40%,4)</f>
        <v>3.04E-2</v>
      </c>
      <c r="D87" s="14">
        <f>TRUNC($D$33*C87,2)</f>
        <v>51.08</v>
      </c>
    </row>
    <row r="88" spans="1:4" ht="12.75" customHeight="1" x14ac:dyDescent="0.25">
      <c r="A88" s="110" t="s">
        <v>35</v>
      </c>
      <c r="B88" s="110"/>
      <c r="C88" s="110"/>
      <c r="D88" s="19">
        <f>SUM(D82:D87)</f>
        <v>103.47</v>
      </c>
    </row>
    <row r="91" spans="1:4" x14ac:dyDescent="0.25">
      <c r="A91" s="105" t="s">
        <v>73</v>
      </c>
      <c r="B91" s="105"/>
      <c r="C91" s="105"/>
      <c r="D91" s="105"/>
    </row>
    <row r="94" spans="1:4" x14ac:dyDescent="0.25">
      <c r="A94" s="112" t="s">
        <v>74</v>
      </c>
      <c r="B94" s="112"/>
      <c r="C94" s="112"/>
      <c r="D94" s="112"/>
    </row>
    <row r="95" spans="1:4" x14ac:dyDescent="0.25">
      <c r="A95" s="16"/>
    </row>
    <row r="96" spans="1:4" ht="12.75" customHeight="1" x14ac:dyDescent="0.25">
      <c r="A96" s="12" t="s">
        <v>75</v>
      </c>
      <c r="B96" s="114" t="s">
        <v>76</v>
      </c>
      <c r="C96" s="114"/>
      <c r="D96" s="12" t="s">
        <v>26</v>
      </c>
    </row>
    <row r="97" spans="1:6" x14ac:dyDescent="0.25">
      <c r="A97" s="8" t="s">
        <v>2</v>
      </c>
      <c r="B97" s="13" t="s">
        <v>77</v>
      </c>
      <c r="C97" s="20">
        <f>TRUNC(((1+1/3)/12)/12,4)</f>
        <v>9.1999999999999998E-3</v>
      </c>
      <c r="D97" s="14">
        <f t="shared" ref="D97:D102" si="1">TRUNC(($D$33+$D$76+$D$88)*C97,2)</f>
        <v>31.72</v>
      </c>
    </row>
    <row r="98" spans="1:6" x14ac:dyDescent="0.25">
      <c r="A98" s="8" t="s">
        <v>4</v>
      </c>
      <c r="B98" s="13" t="s">
        <v>78</v>
      </c>
      <c r="C98" s="20">
        <f>TRUNC(((2/30)/12),4)</f>
        <v>5.4999999999999997E-3</v>
      </c>
      <c r="D98" s="14">
        <f t="shared" si="1"/>
        <v>18.96</v>
      </c>
    </row>
    <row r="99" spans="1:6" x14ac:dyDescent="0.25">
      <c r="A99" s="8" t="s">
        <v>6</v>
      </c>
      <c r="B99" s="13" t="s">
        <v>79</v>
      </c>
      <c r="C99" s="20">
        <f>TRUNC(((5/30)/12)*2%,4)</f>
        <v>2.0000000000000001E-4</v>
      </c>
      <c r="D99" s="14">
        <f t="shared" si="1"/>
        <v>0.68</v>
      </c>
    </row>
    <row r="100" spans="1:6" x14ac:dyDescent="0.25">
      <c r="A100" s="8" t="s">
        <v>8</v>
      </c>
      <c r="B100" s="13" t="s">
        <v>80</v>
      </c>
      <c r="C100" s="20">
        <f>TRUNC(((15/30)/12)*8%,4)</f>
        <v>3.3E-3</v>
      </c>
      <c r="D100" s="14">
        <f t="shared" si="1"/>
        <v>11.37</v>
      </c>
    </row>
    <row r="101" spans="1:6" x14ac:dyDescent="0.25">
      <c r="A101" s="8" t="s">
        <v>31</v>
      </c>
      <c r="B101" s="13" t="s">
        <v>81</v>
      </c>
      <c r="C101" s="20">
        <f>((1+1/3)/12)*3%*(4/12)</f>
        <v>1.1111111111111109E-3</v>
      </c>
      <c r="D101" s="14">
        <f t="shared" si="1"/>
        <v>3.83</v>
      </c>
    </row>
    <row r="102" spans="1:6" x14ac:dyDescent="0.25">
      <c r="A102" s="8" t="s">
        <v>51</v>
      </c>
      <c r="B102" s="13" t="s">
        <v>82</v>
      </c>
      <c r="C102" s="20"/>
      <c r="D102" s="14">
        <f t="shared" si="1"/>
        <v>0</v>
      </c>
    </row>
    <row r="103" spans="1:6" ht="12.75" customHeight="1" x14ac:dyDescent="0.25">
      <c r="A103" s="110" t="s">
        <v>56</v>
      </c>
      <c r="B103" s="110"/>
      <c r="C103" s="110"/>
      <c r="D103" s="19">
        <f>SUM(D97:D102)</f>
        <v>66.56</v>
      </c>
      <c r="E103" s="26"/>
      <c r="F103" s="26"/>
    </row>
    <row r="106" spans="1:6" x14ac:dyDescent="0.25">
      <c r="A106" s="112" t="s">
        <v>83</v>
      </c>
      <c r="B106" s="112"/>
      <c r="C106" s="112"/>
      <c r="D106" s="112"/>
    </row>
    <row r="107" spans="1:6" x14ac:dyDescent="0.25">
      <c r="A107" s="16"/>
    </row>
    <row r="108" spans="1:6" ht="12.75" customHeight="1" x14ac:dyDescent="0.25">
      <c r="A108" s="12" t="s">
        <v>84</v>
      </c>
      <c r="B108" s="114" t="s">
        <v>85</v>
      </c>
      <c r="C108" s="114"/>
      <c r="D108" s="12" t="s">
        <v>26</v>
      </c>
    </row>
    <row r="109" spans="1:6" ht="12.75" customHeight="1" x14ac:dyDescent="0.25">
      <c r="A109" s="8" t="s">
        <v>2</v>
      </c>
      <c r="B109" s="111" t="s">
        <v>86</v>
      </c>
      <c r="C109" s="111"/>
      <c r="D109" s="14">
        <f>((D33+D76+D88)/220)*22*0</f>
        <v>0</v>
      </c>
    </row>
    <row r="110" spans="1:6" ht="12.75" customHeight="1" x14ac:dyDescent="0.25">
      <c r="A110" s="110" t="s">
        <v>35</v>
      </c>
      <c r="B110" s="110"/>
      <c r="C110" s="110"/>
      <c r="D110" s="19">
        <f>SUM(D109)</f>
        <v>0</v>
      </c>
    </row>
    <row r="113" spans="1:4" x14ac:dyDescent="0.25">
      <c r="A113" s="112" t="s">
        <v>87</v>
      </c>
      <c r="B113" s="112"/>
      <c r="C113" s="112"/>
      <c r="D113" s="112"/>
    </row>
    <row r="114" spans="1:4" x14ac:dyDescent="0.25">
      <c r="A114" s="16"/>
    </row>
    <row r="115" spans="1:4" ht="12.75" customHeight="1" x14ac:dyDescent="0.25">
      <c r="A115" s="12">
        <v>4</v>
      </c>
      <c r="B115" s="110" t="s">
        <v>88</v>
      </c>
      <c r="C115" s="110"/>
      <c r="D115" s="12" t="s">
        <v>26</v>
      </c>
    </row>
    <row r="116" spans="1:4" ht="12.75" customHeight="1" x14ac:dyDescent="0.25">
      <c r="A116" s="8" t="s">
        <v>75</v>
      </c>
      <c r="B116" s="111" t="s">
        <v>76</v>
      </c>
      <c r="C116" s="111"/>
      <c r="D116" s="23">
        <f>D103</f>
        <v>66.56</v>
      </c>
    </row>
    <row r="117" spans="1:4" ht="12.75" customHeight="1" x14ac:dyDescent="0.25">
      <c r="A117" s="8" t="s">
        <v>84</v>
      </c>
      <c r="B117" s="111" t="s">
        <v>85</v>
      </c>
      <c r="C117" s="111"/>
      <c r="D117" s="23">
        <f>D110</f>
        <v>0</v>
      </c>
    </row>
    <row r="118" spans="1:4" ht="12.75" customHeight="1" x14ac:dyDescent="0.25">
      <c r="A118" s="110" t="s">
        <v>35</v>
      </c>
      <c r="B118" s="110"/>
      <c r="C118" s="110"/>
      <c r="D118" s="19">
        <f>SUM(D116:D117)</f>
        <v>66.56</v>
      </c>
    </row>
    <row r="121" spans="1:4" x14ac:dyDescent="0.25">
      <c r="A121" s="105" t="s">
        <v>89</v>
      </c>
      <c r="B121" s="105"/>
      <c r="C121" s="105"/>
      <c r="D121" s="105"/>
    </row>
    <row r="123" spans="1:4" ht="12.75" customHeight="1" x14ac:dyDescent="0.25">
      <c r="A123" s="12">
        <v>5</v>
      </c>
      <c r="B123" s="115" t="s">
        <v>90</v>
      </c>
      <c r="C123" s="115"/>
      <c r="D123" s="12" t="s">
        <v>26</v>
      </c>
    </row>
    <row r="124" spans="1:4" x14ac:dyDescent="0.25">
      <c r="A124" s="8" t="s">
        <v>2</v>
      </c>
      <c r="B124" s="13" t="s">
        <v>91</v>
      </c>
      <c r="C124" s="13"/>
      <c r="D124" s="14">
        <v>66.040000000000006</v>
      </c>
    </row>
    <row r="125" spans="1:4" x14ac:dyDescent="0.25">
      <c r="A125" s="8" t="s">
        <v>4</v>
      </c>
      <c r="B125" s="13" t="s">
        <v>92</v>
      </c>
      <c r="C125" s="13"/>
      <c r="D125" s="14">
        <v>61.36</v>
      </c>
    </row>
    <row r="126" spans="1:4" x14ac:dyDescent="0.25">
      <c r="A126" s="8" t="s">
        <v>6</v>
      </c>
      <c r="B126" s="13" t="s">
        <v>93</v>
      </c>
      <c r="C126" s="13"/>
      <c r="D126" s="14">
        <v>40.22</v>
      </c>
    </row>
    <row r="127" spans="1:4" x14ac:dyDescent="0.25">
      <c r="A127" s="8" t="s">
        <v>8</v>
      </c>
      <c r="B127" s="13" t="s">
        <v>34</v>
      </c>
      <c r="C127" s="13"/>
      <c r="D127" s="14"/>
    </row>
    <row r="128" spans="1:4" ht="12.75" customHeight="1" x14ac:dyDescent="0.25">
      <c r="A128" s="110" t="s">
        <v>56</v>
      </c>
      <c r="B128" s="110"/>
      <c r="C128" s="110"/>
      <c r="D128" s="15">
        <f>SUM(D124:D127)</f>
        <v>167.62</v>
      </c>
    </row>
    <row r="131" spans="1:4" x14ac:dyDescent="0.25">
      <c r="A131" s="105" t="s">
        <v>94</v>
      </c>
      <c r="B131" s="105"/>
      <c r="C131" s="105"/>
      <c r="D131" s="105"/>
    </row>
    <row r="133" spans="1:4" x14ac:dyDescent="0.25">
      <c r="A133" s="12">
        <v>6</v>
      </c>
      <c r="B133" s="28" t="s">
        <v>95</v>
      </c>
      <c r="C133" s="12" t="s">
        <v>45</v>
      </c>
      <c r="D133" s="12" t="s">
        <v>26</v>
      </c>
    </row>
    <row r="134" spans="1:4" x14ac:dyDescent="0.25">
      <c r="A134" s="8" t="s">
        <v>2</v>
      </c>
      <c r="B134" s="13" t="s">
        <v>96</v>
      </c>
      <c r="C134" s="20">
        <v>0.05</v>
      </c>
      <c r="D134" s="23">
        <f>D154*C134</f>
        <v>184.10359</v>
      </c>
    </row>
    <row r="135" spans="1:4" x14ac:dyDescent="0.25">
      <c r="A135" s="8" t="s">
        <v>4</v>
      </c>
      <c r="B135" s="13" t="s">
        <v>97</v>
      </c>
      <c r="C135" s="20">
        <v>0.06</v>
      </c>
      <c r="D135" s="14">
        <f>(D154+D134)*C135</f>
        <v>231.97052339999999</v>
      </c>
    </row>
    <row r="136" spans="1:4" x14ac:dyDescent="0.25">
      <c r="A136" s="8" t="s">
        <v>6</v>
      </c>
      <c r="B136" s="13" t="s">
        <v>98</v>
      </c>
      <c r="C136" s="17">
        <f>SUM(C137:C142)</f>
        <v>8.6499999999999994E-2</v>
      </c>
      <c r="D136" s="14">
        <f>(D154+D134+D135)*C136/(1-C136)</f>
        <v>388.05650958850572</v>
      </c>
    </row>
    <row r="137" spans="1:4" x14ac:dyDescent="0.25">
      <c r="A137" s="8"/>
      <c r="B137" s="13" t="s">
        <v>99</v>
      </c>
      <c r="C137" s="20"/>
      <c r="D137" s="23">
        <f t="shared" ref="D137:D142" si="2">$D$156*C137</f>
        <v>0</v>
      </c>
    </row>
    <row r="138" spans="1:4" x14ac:dyDescent="0.25">
      <c r="A138" s="8"/>
      <c r="B138" s="13" t="s">
        <v>100</v>
      </c>
      <c r="C138" s="20">
        <v>6.4999999999999997E-3</v>
      </c>
      <c r="D138" s="23">
        <f t="shared" si="2"/>
        <v>29.160315749425283</v>
      </c>
    </row>
    <row r="139" spans="1:4" x14ac:dyDescent="0.25">
      <c r="A139" s="8"/>
      <c r="B139" s="13" t="s">
        <v>101</v>
      </c>
      <c r="C139" s="20">
        <v>0.03</v>
      </c>
      <c r="D139" s="23">
        <f t="shared" si="2"/>
        <v>134.58607268965517</v>
      </c>
    </row>
    <row r="140" spans="1:4" x14ac:dyDescent="0.25">
      <c r="A140" s="8"/>
      <c r="B140" s="13" t="s">
        <v>102</v>
      </c>
      <c r="C140" s="65"/>
      <c r="D140" s="23">
        <f t="shared" si="2"/>
        <v>0</v>
      </c>
    </row>
    <row r="141" spans="1:4" x14ac:dyDescent="0.25">
      <c r="A141" s="8"/>
      <c r="B141" s="13" t="s">
        <v>103</v>
      </c>
      <c r="C141" s="20"/>
      <c r="D141" s="23">
        <f t="shared" si="2"/>
        <v>0</v>
      </c>
    </row>
    <row r="142" spans="1:4" x14ac:dyDescent="0.25">
      <c r="A142" s="8"/>
      <c r="B142" s="13" t="s">
        <v>104</v>
      </c>
      <c r="C142" s="20">
        <v>0.05</v>
      </c>
      <c r="D142" s="23">
        <f t="shared" si="2"/>
        <v>224.3101211494253</v>
      </c>
    </row>
    <row r="143" spans="1:4" ht="13.5" customHeight="1" x14ac:dyDescent="0.25">
      <c r="A143" s="116" t="s">
        <v>56</v>
      </c>
      <c r="B143" s="116"/>
      <c r="C143" s="29">
        <f>ROUND((1+C135)*(1+C134)/(1-C136)-1,4)</f>
        <v>0.21840000000000001</v>
      </c>
      <c r="D143" s="19">
        <f>SUM(D134:D136)</f>
        <v>804.13062298850571</v>
      </c>
    </row>
    <row r="146" spans="1:4" x14ac:dyDescent="0.25">
      <c r="A146" s="105" t="s">
        <v>105</v>
      </c>
      <c r="B146" s="105"/>
      <c r="C146" s="105"/>
      <c r="D146" s="105"/>
    </row>
    <row r="148" spans="1:4" ht="12.75" customHeight="1" x14ac:dyDescent="0.25">
      <c r="A148" s="12"/>
      <c r="B148" s="110" t="s">
        <v>106</v>
      </c>
      <c r="C148" s="110"/>
      <c r="D148" s="12" t="s">
        <v>26</v>
      </c>
    </row>
    <row r="149" spans="1:4" ht="12.75" customHeight="1" x14ac:dyDescent="0.25">
      <c r="A149" s="12" t="s">
        <v>2</v>
      </c>
      <c r="B149" s="111" t="s">
        <v>24</v>
      </c>
      <c r="C149" s="111"/>
      <c r="D149" s="30">
        <f>D33</f>
        <v>1680.2640000000001</v>
      </c>
    </row>
    <row r="150" spans="1:4" ht="12.75" customHeight="1" x14ac:dyDescent="0.25">
      <c r="A150" s="12" t="s">
        <v>4</v>
      </c>
      <c r="B150" s="111" t="s">
        <v>36</v>
      </c>
      <c r="C150" s="111"/>
      <c r="D150" s="30">
        <f>D76</f>
        <v>1664.1578</v>
      </c>
    </row>
    <row r="151" spans="1:4" ht="12.75" customHeight="1" x14ac:dyDescent="0.25">
      <c r="A151" s="12" t="s">
        <v>6</v>
      </c>
      <c r="B151" s="111" t="s">
        <v>65</v>
      </c>
      <c r="C151" s="111"/>
      <c r="D151" s="30">
        <f>D88</f>
        <v>103.47</v>
      </c>
    </row>
    <row r="152" spans="1:4" ht="12.75" customHeight="1" x14ac:dyDescent="0.25">
      <c r="A152" s="12" t="s">
        <v>8</v>
      </c>
      <c r="B152" s="111" t="s">
        <v>73</v>
      </c>
      <c r="C152" s="111"/>
      <c r="D152" s="30">
        <f>D118</f>
        <v>66.56</v>
      </c>
    </row>
    <row r="153" spans="1:4" ht="12.75" customHeight="1" x14ac:dyDescent="0.25">
      <c r="A153" s="12" t="s">
        <v>31</v>
      </c>
      <c r="B153" s="111" t="s">
        <v>89</v>
      </c>
      <c r="C153" s="111"/>
      <c r="D153" s="30">
        <f>D128</f>
        <v>167.62</v>
      </c>
    </row>
    <row r="154" spans="1:4" ht="12.75" customHeight="1" x14ac:dyDescent="0.25">
      <c r="A154" s="110" t="s">
        <v>107</v>
      </c>
      <c r="B154" s="110"/>
      <c r="C154" s="110"/>
      <c r="D154" s="31">
        <f>SUM(D149:D153)</f>
        <v>3682.0717999999997</v>
      </c>
    </row>
    <row r="155" spans="1:4" ht="12.75" customHeight="1" x14ac:dyDescent="0.25">
      <c r="A155" s="12" t="s">
        <v>51</v>
      </c>
      <c r="B155" s="111" t="s">
        <v>108</v>
      </c>
      <c r="C155" s="111"/>
      <c r="D155" s="32">
        <f>D143</f>
        <v>804.13062298850571</v>
      </c>
    </row>
    <row r="156" spans="1:4" ht="12.75" customHeight="1" x14ac:dyDescent="0.25">
      <c r="A156" s="110" t="s">
        <v>109</v>
      </c>
      <c r="B156" s="110"/>
      <c r="C156" s="110"/>
      <c r="D156" s="31">
        <f>SUM(D154:D155)</f>
        <v>4486.2024229885055</v>
      </c>
    </row>
  </sheetData>
  <mergeCells count="71">
    <mergeCell ref="A156:C156"/>
    <mergeCell ref="B151:C151"/>
    <mergeCell ref="B152:C152"/>
    <mergeCell ref="B153:C153"/>
    <mergeCell ref="A154:C154"/>
    <mergeCell ref="B155:C155"/>
    <mergeCell ref="A143:B143"/>
    <mergeCell ref="A146:D146"/>
    <mergeCell ref="B148:C148"/>
    <mergeCell ref="B149:C149"/>
    <mergeCell ref="B150:C150"/>
    <mergeCell ref="A118:C118"/>
    <mergeCell ref="A121:D121"/>
    <mergeCell ref="B123:C123"/>
    <mergeCell ref="A128:C128"/>
    <mergeCell ref="A131:D131"/>
    <mergeCell ref="A110:C110"/>
    <mergeCell ref="A113:D113"/>
    <mergeCell ref="B115:C115"/>
    <mergeCell ref="B116:C116"/>
    <mergeCell ref="B117:C117"/>
    <mergeCell ref="B96:C96"/>
    <mergeCell ref="A103:C103"/>
    <mergeCell ref="A106:D106"/>
    <mergeCell ref="B108:C108"/>
    <mergeCell ref="B109:C109"/>
    <mergeCell ref="A79:D79"/>
    <mergeCell ref="B81:C81"/>
    <mergeCell ref="A88:C88"/>
    <mergeCell ref="A91:D91"/>
    <mergeCell ref="A94:D94"/>
    <mergeCell ref="B72:C72"/>
    <mergeCell ref="B73:C73"/>
    <mergeCell ref="B74:C74"/>
    <mergeCell ref="B75:C75"/>
    <mergeCell ref="A76:C76"/>
    <mergeCell ref="B64:C64"/>
    <mergeCell ref="B65:C65"/>
    <mergeCell ref="B66:C66"/>
    <mergeCell ref="A67:C67"/>
    <mergeCell ref="A70:D70"/>
    <mergeCell ref="A46:D46"/>
    <mergeCell ref="A57:B57"/>
    <mergeCell ref="A60:D60"/>
    <mergeCell ref="B62:C62"/>
    <mergeCell ref="B63:C63"/>
    <mergeCell ref="A33:C33"/>
    <mergeCell ref="A36:D36"/>
    <mergeCell ref="A38:D38"/>
    <mergeCell ref="B40:C40"/>
    <mergeCell ref="A43:B43"/>
    <mergeCell ref="B28:C28"/>
    <mergeCell ref="B29:C29"/>
    <mergeCell ref="B30:C30"/>
    <mergeCell ref="B31:C31"/>
    <mergeCell ref="B32:C32"/>
    <mergeCell ref="C21:D21"/>
    <mergeCell ref="A23:D23"/>
    <mergeCell ref="B25:C25"/>
    <mergeCell ref="B26:C26"/>
    <mergeCell ref="B27:C27"/>
    <mergeCell ref="A15:D15"/>
    <mergeCell ref="C17:D17"/>
    <mergeCell ref="C18:D18"/>
    <mergeCell ref="C19:D19"/>
    <mergeCell ref="C20:D20"/>
    <mergeCell ref="A1:D1"/>
    <mergeCell ref="A3:D3"/>
    <mergeCell ref="A10:D10"/>
    <mergeCell ref="A12:B12"/>
    <mergeCell ref="A13:B13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6"/>
  <sheetViews>
    <sheetView topLeftCell="A55" zoomScale="115" zoomScaleNormal="115" workbookViewId="0">
      <selection activeCell="D64" sqref="D64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104" t="s">
        <v>0</v>
      </c>
      <c r="B1" s="104"/>
      <c r="C1" s="104"/>
      <c r="D1" s="104"/>
    </row>
    <row r="2" spans="1:4" ht="15.75" x14ac:dyDescent="0.25">
      <c r="A2" s="2"/>
      <c r="B2" s="2"/>
      <c r="C2" s="2"/>
      <c r="D2" s="2"/>
    </row>
    <row r="3" spans="1:4" x14ac:dyDescent="0.25">
      <c r="A3" s="105" t="s">
        <v>1</v>
      </c>
      <c r="B3" s="105"/>
      <c r="C3" s="105"/>
      <c r="D3" s="105"/>
    </row>
    <row r="4" spans="1:4" x14ac:dyDescent="0.25">
      <c r="A4" s="3"/>
      <c r="B4" s="3"/>
      <c r="C4" s="3"/>
      <c r="D4" s="3"/>
    </row>
    <row r="5" spans="1:4" x14ac:dyDescent="0.25">
      <c r="A5" s="4" t="s">
        <v>2</v>
      </c>
      <c r="B5" s="5" t="s">
        <v>3</v>
      </c>
      <c r="C5" s="6"/>
      <c r="D5" s="7"/>
    </row>
    <row r="6" spans="1:4" x14ac:dyDescent="0.25">
      <c r="A6" s="4" t="s">
        <v>4</v>
      </c>
      <c r="B6" s="5" t="s">
        <v>5</v>
      </c>
      <c r="C6" s="6"/>
      <c r="D6" s="7"/>
    </row>
    <row r="7" spans="1:4" x14ac:dyDescent="0.25">
      <c r="A7" s="4" t="s">
        <v>6</v>
      </c>
      <c r="B7" s="5" t="s">
        <v>7</v>
      </c>
      <c r="C7" s="6"/>
      <c r="D7" s="7"/>
    </row>
    <row r="8" spans="1:4" x14ac:dyDescent="0.25">
      <c r="A8" s="4" t="s">
        <v>8</v>
      </c>
      <c r="B8" s="5" t="s">
        <v>9</v>
      </c>
      <c r="C8" s="6"/>
      <c r="D8" s="7">
        <v>24</v>
      </c>
    </row>
    <row r="10" spans="1:4" x14ac:dyDescent="0.25">
      <c r="A10" s="105" t="s">
        <v>10</v>
      </c>
      <c r="B10" s="105"/>
      <c r="C10" s="105"/>
      <c r="D10" s="105"/>
    </row>
    <row r="11" spans="1:4" x14ac:dyDescent="0.25">
      <c r="A11" s="3"/>
      <c r="B11" s="3"/>
      <c r="C11" s="3"/>
      <c r="D11" s="3"/>
    </row>
    <row r="12" spans="1:4" ht="38.25" customHeight="1" x14ac:dyDescent="0.25">
      <c r="A12" s="106" t="s">
        <v>11</v>
      </c>
      <c r="B12" s="106"/>
      <c r="C12" s="8" t="s">
        <v>12</v>
      </c>
      <c r="D12" s="9" t="s">
        <v>13</v>
      </c>
    </row>
    <row r="13" spans="1:4" s="11" customFormat="1" ht="12.75" x14ac:dyDescent="0.2">
      <c r="A13" s="107" t="s">
        <v>130</v>
      </c>
      <c r="B13" s="107"/>
      <c r="C13" s="10" t="s">
        <v>15</v>
      </c>
      <c r="D13" s="10">
        <v>2</v>
      </c>
    </row>
    <row r="15" spans="1:4" x14ac:dyDescent="0.25">
      <c r="A15" s="105" t="s">
        <v>16</v>
      </c>
      <c r="B15" s="105"/>
      <c r="C15" s="105"/>
      <c r="D15" s="105"/>
    </row>
    <row r="16" spans="1:4" x14ac:dyDescent="0.25">
      <c r="A16" s="3"/>
      <c r="B16" s="3"/>
      <c r="C16" s="3"/>
      <c r="D16" s="3"/>
    </row>
    <row r="17" spans="1:4" x14ac:dyDescent="0.25">
      <c r="A17" s="4">
        <v>1</v>
      </c>
      <c r="B17" s="4" t="s">
        <v>17</v>
      </c>
      <c r="C17" s="108" t="s">
        <v>115</v>
      </c>
      <c r="D17" s="108"/>
    </row>
    <row r="18" spans="1:4" x14ac:dyDescent="0.25">
      <c r="A18" s="4">
        <v>2</v>
      </c>
      <c r="B18" s="4" t="s">
        <v>19</v>
      </c>
      <c r="C18" s="108" t="s">
        <v>131</v>
      </c>
      <c r="D18" s="108"/>
    </row>
    <row r="19" spans="1:4" x14ac:dyDescent="0.25">
      <c r="A19" s="4">
        <v>3</v>
      </c>
      <c r="B19" s="4" t="s">
        <v>21</v>
      </c>
      <c r="C19" s="108">
        <v>2229.58</v>
      </c>
      <c r="D19" s="108"/>
    </row>
    <row r="20" spans="1:4" x14ac:dyDescent="0.25">
      <c r="A20" s="4">
        <v>4</v>
      </c>
      <c r="B20" s="4" t="s">
        <v>22</v>
      </c>
      <c r="C20" s="108" t="s">
        <v>196</v>
      </c>
      <c r="D20" s="108"/>
    </row>
    <row r="21" spans="1:4" x14ac:dyDescent="0.25">
      <c r="A21" s="4">
        <v>5</v>
      </c>
      <c r="B21" s="4" t="s">
        <v>23</v>
      </c>
      <c r="C21" s="108"/>
      <c r="D21" s="108"/>
    </row>
    <row r="23" spans="1:4" x14ac:dyDescent="0.25">
      <c r="A23" s="105" t="s">
        <v>24</v>
      </c>
      <c r="B23" s="105"/>
      <c r="C23" s="105"/>
      <c r="D23" s="105"/>
    </row>
    <row r="25" spans="1:4" ht="12.75" customHeight="1" x14ac:dyDescent="0.25">
      <c r="A25" s="12">
        <v>1</v>
      </c>
      <c r="B25" s="110" t="s">
        <v>25</v>
      </c>
      <c r="C25" s="110"/>
      <c r="D25" s="12" t="s">
        <v>26</v>
      </c>
    </row>
    <row r="26" spans="1:4" ht="12.75" customHeight="1" x14ac:dyDescent="0.25">
      <c r="A26" s="8" t="s">
        <v>2</v>
      </c>
      <c r="B26" s="111" t="s">
        <v>27</v>
      </c>
      <c r="C26" s="111"/>
      <c r="D26" s="14">
        <v>2229.58</v>
      </c>
    </row>
    <row r="27" spans="1:4" ht="12.75" customHeight="1" x14ac:dyDescent="0.25">
      <c r="A27" s="8" t="s">
        <v>4</v>
      </c>
      <c r="B27" s="111" t="s">
        <v>28</v>
      </c>
      <c r="C27" s="111"/>
      <c r="D27" s="14"/>
    </row>
    <row r="28" spans="1:4" ht="12.75" customHeight="1" x14ac:dyDescent="0.25">
      <c r="A28" s="8" t="s">
        <v>6</v>
      </c>
      <c r="B28" s="111" t="s">
        <v>29</v>
      </c>
      <c r="C28" s="111"/>
      <c r="D28" s="14">
        <f>D26*0.2</f>
        <v>445.916</v>
      </c>
    </row>
    <row r="29" spans="1:4" ht="12.75" customHeight="1" x14ac:dyDescent="0.25">
      <c r="A29" s="8" t="s">
        <v>8</v>
      </c>
      <c r="B29" s="111" t="s">
        <v>30</v>
      </c>
      <c r="C29" s="111"/>
      <c r="D29" s="14"/>
    </row>
    <row r="30" spans="1:4" ht="12.75" customHeight="1" x14ac:dyDescent="0.25">
      <c r="A30" s="8" t="s">
        <v>31</v>
      </c>
      <c r="B30" s="111" t="s">
        <v>32</v>
      </c>
      <c r="C30" s="111"/>
      <c r="D30" s="14"/>
    </row>
    <row r="31" spans="1:4" x14ac:dyDescent="0.25">
      <c r="A31" s="8"/>
      <c r="B31" s="111"/>
      <c r="C31" s="111"/>
      <c r="D31" s="14"/>
    </row>
    <row r="32" spans="1:4" ht="12.75" customHeight="1" x14ac:dyDescent="0.25">
      <c r="A32" s="8" t="s">
        <v>33</v>
      </c>
      <c r="B32" s="111" t="s">
        <v>34</v>
      </c>
      <c r="C32" s="111"/>
      <c r="D32" s="14"/>
    </row>
    <row r="33" spans="1:4" ht="12.75" customHeight="1" x14ac:dyDescent="0.25">
      <c r="A33" s="110" t="s">
        <v>35</v>
      </c>
      <c r="B33" s="110"/>
      <c r="C33" s="110"/>
      <c r="D33" s="15">
        <f>SUM(D26:D32)</f>
        <v>2675.4960000000001</v>
      </c>
    </row>
    <row r="36" spans="1:4" x14ac:dyDescent="0.25">
      <c r="A36" s="105" t="s">
        <v>36</v>
      </c>
      <c r="B36" s="105"/>
      <c r="C36" s="105"/>
      <c r="D36" s="105"/>
    </row>
    <row r="37" spans="1:4" x14ac:dyDescent="0.25">
      <c r="A37" s="16"/>
    </row>
    <row r="38" spans="1:4" x14ac:dyDescent="0.25">
      <c r="A38" s="112" t="s">
        <v>37</v>
      </c>
      <c r="B38" s="112"/>
      <c r="C38" s="112"/>
      <c r="D38" s="112"/>
    </row>
    <row r="40" spans="1:4" ht="12.75" customHeight="1" x14ac:dyDescent="0.25">
      <c r="A40" s="12" t="s">
        <v>38</v>
      </c>
      <c r="B40" s="110" t="s">
        <v>39</v>
      </c>
      <c r="C40" s="110"/>
      <c r="D40" s="12" t="s">
        <v>26</v>
      </c>
    </row>
    <row r="41" spans="1:4" x14ac:dyDescent="0.25">
      <c r="A41" s="8" t="s">
        <v>2</v>
      </c>
      <c r="B41" s="13" t="s">
        <v>40</v>
      </c>
      <c r="C41" s="17">
        <f>TRUNC(1/12,4)</f>
        <v>8.3299999999999999E-2</v>
      </c>
      <c r="D41" s="14">
        <f>TRUNC($D$33*C41,2)</f>
        <v>222.86</v>
      </c>
    </row>
    <row r="42" spans="1:4" x14ac:dyDescent="0.25">
      <c r="A42" s="8" t="s">
        <v>4</v>
      </c>
      <c r="B42" s="13" t="s">
        <v>41</v>
      </c>
      <c r="C42" s="17">
        <f>TRUNC(((1+1/3)/12),4)</f>
        <v>0.1111</v>
      </c>
      <c r="D42" s="14">
        <f>TRUNC($D$33*C42,2)</f>
        <v>297.24</v>
      </c>
    </row>
    <row r="43" spans="1:4" ht="12.75" customHeight="1" x14ac:dyDescent="0.25">
      <c r="A43" s="110" t="s">
        <v>35</v>
      </c>
      <c r="B43" s="110"/>
      <c r="C43" s="18">
        <f>SUM(C41:C42)</f>
        <v>0.19440000000000002</v>
      </c>
      <c r="D43" s="19">
        <f>SUM(D41:D42)</f>
        <v>520.1</v>
      </c>
    </row>
    <row r="46" spans="1:4" ht="12.75" customHeight="1" x14ac:dyDescent="0.25">
      <c r="A46" s="113" t="s">
        <v>42</v>
      </c>
      <c r="B46" s="113"/>
      <c r="C46" s="113"/>
      <c r="D46" s="113"/>
    </row>
    <row r="48" spans="1:4" x14ac:dyDescent="0.25">
      <c r="A48" s="12" t="s">
        <v>43</v>
      </c>
      <c r="B48" s="12" t="s">
        <v>44</v>
      </c>
      <c r="C48" s="12" t="s">
        <v>45</v>
      </c>
      <c r="D48" s="12" t="s">
        <v>26</v>
      </c>
    </row>
    <row r="49" spans="1:4" x14ac:dyDescent="0.25">
      <c r="A49" s="8" t="s">
        <v>2</v>
      </c>
      <c r="B49" s="13" t="s">
        <v>46</v>
      </c>
      <c r="C49" s="20">
        <v>0.2</v>
      </c>
      <c r="D49" s="14">
        <f t="shared" ref="D49:D56" si="0">TRUNC(($D$33+$D$43)*C49,2)</f>
        <v>639.11</v>
      </c>
    </row>
    <row r="50" spans="1:4" x14ac:dyDescent="0.25">
      <c r="A50" s="8" t="s">
        <v>4</v>
      </c>
      <c r="B50" s="13" t="s">
        <v>47</v>
      </c>
      <c r="C50" s="20">
        <v>2.5000000000000001E-2</v>
      </c>
      <c r="D50" s="14">
        <f t="shared" si="0"/>
        <v>79.88</v>
      </c>
    </row>
    <row r="51" spans="1:4" x14ac:dyDescent="0.25">
      <c r="A51" s="8" t="s">
        <v>6</v>
      </c>
      <c r="B51" s="13" t="s">
        <v>48</v>
      </c>
      <c r="C51" s="21">
        <v>0.03</v>
      </c>
      <c r="D51" s="14">
        <f t="shared" si="0"/>
        <v>95.86</v>
      </c>
    </row>
    <row r="52" spans="1:4" x14ac:dyDescent="0.25">
      <c r="A52" s="8" t="s">
        <v>8</v>
      </c>
      <c r="B52" s="13" t="s">
        <v>49</v>
      </c>
      <c r="C52" s="20">
        <v>1.4999999999999999E-2</v>
      </c>
      <c r="D52" s="14">
        <f t="shared" si="0"/>
        <v>47.93</v>
      </c>
    </row>
    <row r="53" spans="1:4" x14ac:dyDescent="0.25">
      <c r="A53" s="8" t="s">
        <v>31</v>
      </c>
      <c r="B53" s="13" t="s">
        <v>50</v>
      </c>
      <c r="C53" s="20">
        <v>0.01</v>
      </c>
      <c r="D53" s="14">
        <f t="shared" si="0"/>
        <v>31.95</v>
      </c>
    </row>
    <row r="54" spans="1:4" x14ac:dyDescent="0.25">
      <c r="A54" s="8" t="s">
        <v>51</v>
      </c>
      <c r="B54" s="13" t="s">
        <v>52</v>
      </c>
      <c r="C54" s="20">
        <v>6.0000000000000001E-3</v>
      </c>
      <c r="D54" s="14">
        <f t="shared" si="0"/>
        <v>19.170000000000002</v>
      </c>
    </row>
    <row r="55" spans="1:4" x14ac:dyDescent="0.25">
      <c r="A55" s="8" t="s">
        <v>33</v>
      </c>
      <c r="B55" s="13" t="s">
        <v>53</v>
      </c>
      <c r="C55" s="20">
        <v>2E-3</v>
      </c>
      <c r="D55" s="14">
        <f t="shared" si="0"/>
        <v>6.39</v>
      </c>
    </row>
    <row r="56" spans="1:4" x14ac:dyDescent="0.25">
      <c r="A56" s="8" t="s">
        <v>54</v>
      </c>
      <c r="B56" s="13" t="s">
        <v>55</v>
      </c>
      <c r="C56" s="20">
        <v>0.08</v>
      </c>
      <c r="D56" s="14">
        <f t="shared" si="0"/>
        <v>255.64</v>
      </c>
    </row>
    <row r="57" spans="1:4" ht="12.75" customHeight="1" x14ac:dyDescent="0.25">
      <c r="A57" s="110" t="s">
        <v>56</v>
      </c>
      <c r="B57" s="110"/>
      <c r="C57" s="22">
        <f>SUM(C49:C56)</f>
        <v>0.36800000000000005</v>
      </c>
      <c r="D57" s="19">
        <f>SUM(D49:D56)</f>
        <v>1175.9299999999998</v>
      </c>
    </row>
    <row r="60" spans="1:4" x14ac:dyDescent="0.25">
      <c r="A60" s="112" t="s">
        <v>57</v>
      </c>
      <c r="B60" s="112"/>
      <c r="C60" s="112"/>
      <c r="D60" s="112"/>
    </row>
    <row r="62" spans="1:4" ht="12.75" customHeight="1" x14ac:dyDescent="0.25">
      <c r="A62" s="12" t="s">
        <v>58</v>
      </c>
      <c r="B62" s="114" t="s">
        <v>59</v>
      </c>
      <c r="C62" s="114"/>
      <c r="D62" s="12" t="s">
        <v>26</v>
      </c>
    </row>
    <row r="63" spans="1:4" ht="12.75" customHeight="1" x14ac:dyDescent="0.25">
      <c r="A63" s="8" t="s">
        <v>2</v>
      </c>
      <c r="B63" s="111" t="s">
        <v>60</v>
      </c>
      <c r="C63" s="111"/>
      <c r="D63" s="14">
        <f>IF((26*2*4.9)&gt;(D26*0.06),(26*2*4.9)-(D26*0.06),0)</f>
        <v>121.02520000000001</v>
      </c>
    </row>
    <row r="64" spans="1:4" ht="12.75" customHeight="1" x14ac:dyDescent="0.25">
      <c r="A64" s="8" t="s">
        <v>4</v>
      </c>
      <c r="B64" s="111" t="s">
        <v>61</v>
      </c>
      <c r="C64" s="111"/>
      <c r="D64" s="14">
        <f>22*20.49*0.95</f>
        <v>428.24099999999993</v>
      </c>
    </row>
    <row r="65" spans="1:5" ht="12.75" customHeight="1" x14ac:dyDescent="0.25">
      <c r="A65" s="8" t="s">
        <v>6</v>
      </c>
      <c r="B65" s="111" t="s">
        <v>62</v>
      </c>
      <c r="C65" s="111"/>
      <c r="D65" s="14"/>
    </row>
    <row r="66" spans="1:5" ht="12.75" customHeight="1" x14ac:dyDescent="0.25">
      <c r="A66" s="8" t="s">
        <v>8</v>
      </c>
      <c r="B66" s="111" t="s">
        <v>34</v>
      </c>
      <c r="C66" s="111"/>
      <c r="D66" s="14"/>
    </row>
    <row r="67" spans="1:5" ht="12.75" customHeight="1" x14ac:dyDescent="0.25">
      <c r="A67" s="110" t="s">
        <v>35</v>
      </c>
      <c r="B67" s="110"/>
      <c r="C67" s="110"/>
      <c r="D67" s="19">
        <f>SUM(D63:D66)</f>
        <v>549.26619999999991</v>
      </c>
    </row>
    <row r="70" spans="1:5" x14ac:dyDescent="0.25">
      <c r="A70" s="112" t="s">
        <v>63</v>
      </c>
      <c r="B70" s="112"/>
      <c r="C70" s="112"/>
      <c r="D70" s="112"/>
    </row>
    <row r="72" spans="1:5" ht="12.75" customHeight="1" x14ac:dyDescent="0.25">
      <c r="A72" s="12">
        <v>2</v>
      </c>
      <c r="B72" s="114" t="s">
        <v>64</v>
      </c>
      <c r="C72" s="114"/>
      <c r="D72" s="12" t="s">
        <v>26</v>
      </c>
    </row>
    <row r="73" spans="1:5" ht="12.75" customHeight="1" x14ac:dyDescent="0.25">
      <c r="A73" s="8" t="s">
        <v>38</v>
      </c>
      <c r="B73" s="111" t="s">
        <v>39</v>
      </c>
      <c r="C73" s="111"/>
      <c r="D73" s="23">
        <f>D43</f>
        <v>520.1</v>
      </c>
    </row>
    <row r="74" spans="1:5" ht="12.75" customHeight="1" x14ac:dyDescent="0.25">
      <c r="A74" s="8" t="s">
        <v>43</v>
      </c>
      <c r="B74" s="111" t="s">
        <v>44</v>
      </c>
      <c r="C74" s="111"/>
      <c r="D74" s="23">
        <f>D57</f>
        <v>1175.9299999999998</v>
      </c>
    </row>
    <row r="75" spans="1:5" ht="12.75" customHeight="1" x14ac:dyDescent="0.25">
      <c r="A75" s="8" t="s">
        <v>58</v>
      </c>
      <c r="B75" s="111" t="s">
        <v>59</v>
      </c>
      <c r="C75" s="111"/>
      <c r="D75" s="23">
        <f>D67</f>
        <v>549.26619999999991</v>
      </c>
    </row>
    <row r="76" spans="1:5" ht="12.75" customHeight="1" x14ac:dyDescent="0.25">
      <c r="A76" s="110" t="s">
        <v>35</v>
      </c>
      <c r="B76" s="110"/>
      <c r="C76" s="110"/>
      <c r="D76" s="19">
        <f>SUM(D73:D75)</f>
        <v>2245.2961999999998</v>
      </c>
    </row>
    <row r="77" spans="1:5" x14ac:dyDescent="0.25">
      <c r="A77" s="24"/>
      <c r="E77" s="25"/>
    </row>
    <row r="79" spans="1:5" x14ac:dyDescent="0.25">
      <c r="A79" s="105" t="s">
        <v>65</v>
      </c>
      <c r="B79" s="105"/>
      <c r="C79" s="105"/>
      <c r="D79" s="105"/>
      <c r="E79" s="26"/>
    </row>
    <row r="80" spans="1:5" ht="12.75" customHeight="1" x14ac:dyDescent="0.25">
      <c r="E80" s="25"/>
    </row>
    <row r="81" spans="1:4" ht="12.75" customHeight="1" x14ac:dyDescent="0.25">
      <c r="A81" s="12">
        <v>3</v>
      </c>
      <c r="B81" s="114" t="s">
        <v>66</v>
      </c>
      <c r="C81" s="114"/>
      <c r="D81" s="12" t="s">
        <v>26</v>
      </c>
    </row>
    <row r="82" spans="1:4" x14ac:dyDescent="0.25">
      <c r="A82" s="8" t="s">
        <v>2</v>
      </c>
      <c r="B82" s="27" t="s">
        <v>67</v>
      </c>
      <c r="C82" s="20">
        <f>TRUNC(((1/12)*5%),4)</f>
        <v>4.1000000000000003E-3</v>
      </c>
      <c r="D82" s="14">
        <f>TRUNC($D$33*C82,2)</f>
        <v>10.96</v>
      </c>
    </row>
    <row r="83" spans="1:4" x14ac:dyDescent="0.25">
      <c r="A83" s="8" t="s">
        <v>4</v>
      </c>
      <c r="B83" s="27" t="s">
        <v>68</v>
      </c>
      <c r="C83" s="20">
        <v>0.08</v>
      </c>
      <c r="D83" s="14">
        <f>TRUNC(D82*C83,2)</f>
        <v>0.87</v>
      </c>
    </row>
    <row r="84" spans="1:4" x14ac:dyDescent="0.25">
      <c r="A84" s="8" t="s">
        <v>6</v>
      </c>
      <c r="B84" s="27" t="s">
        <v>69</v>
      </c>
      <c r="C84" s="20">
        <f>TRUNC(8%*5%*40%,4)</f>
        <v>1.6000000000000001E-3</v>
      </c>
      <c r="D84" s="14">
        <f>TRUNC($D$33*C84,2)</f>
        <v>4.28</v>
      </c>
    </row>
    <row r="85" spans="1:4" x14ac:dyDescent="0.25">
      <c r="A85" s="8" t="s">
        <v>8</v>
      </c>
      <c r="B85" s="27" t="s">
        <v>70</v>
      </c>
      <c r="C85" s="20">
        <f>TRUNC(((7/30)/12)*95%,4)</f>
        <v>1.84E-2</v>
      </c>
      <c r="D85" s="14">
        <f>TRUNC($D$33*C85,2)</f>
        <v>49.22</v>
      </c>
    </row>
    <row r="86" spans="1:4" ht="25.5" x14ac:dyDescent="0.25">
      <c r="A86" s="8" t="s">
        <v>31</v>
      </c>
      <c r="B86" s="27" t="s">
        <v>71</v>
      </c>
      <c r="C86" s="20">
        <f>C57</f>
        <v>0.36800000000000005</v>
      </c>
      <c r="D86" s="14">
        <f>TRUNC(D85*C86,2)</f>
        <v>18.11</v>
      </c>
    </row>
    <row r="87" spans="1:4" x14ac:dyDescent="0.25">
      <c r="A87" s="8" t="s">
        <v>51</v>
      </c>
      <c r="B87" s="27" t="s">
        <v>72</v>
      </c>
      <c r="C87" s="20">
        <f>TRUNC(8%*95%*40%,4)</f>
        <v>3.04E-2</v>
      </c>
      <c r="D87" s="14">
        <f>TRUNC($D$33*C87,2)</f>
        <v>81.33</v>
      </c>
    </row>
    <row r="88" spans="1:4" ht="12.75" customHeight="1" x14ac:dyDescent="0.25">
      <c r="A88" s="110" t="s">
        <v>35</v>
      </c>
      <c r="B88" s="110"/>
      <c r="C88" s="110"/>
      <c r="D88" s="19">
        <f>SUM(D82:D87)</f>
        <v>164.76999999999998</v>
      </c>
    </row>
    <row r="91" spans="1:4" x14ac:dyDescent="0.25">
      <c r="A91" s="105" t="s">
        <v>73</v>
      </c>
      <c r="B91" s="105"/>
      <c r="C91" s="105"/>
      <c r="D91" s="105"/>
    </row>
    <row r="94" spans="1:4" x14ac:dyDescent="0.25">
      <c r="A94" s="112" t="s">
        <v>74</v>
      </c>
      <c r="B94" s="112"/>
      <c r="C94" s="112"/>
      <c r="D94" s="112"/>
    </row>
    <row r="95" spans="1:4" x14ac:dyDescent="0.25">
      <c r="A95" s="16"/>
    </row>
    <row r="96" spans="1:4" ht="12.75" customHeight="1" x14ac:dyDescent="0.25">
      <c r="A96" s="12" t="s">
        <v>75</v>
      </c>
      <c r="B96" s="114" t="s">
        <v>76</v>
      </c>
      <c r="C96" s="114"/>
      <c r="D96" s="12" t="s">
        <v>26</v>
      </c>
    </row>
    <row r="97" spans="1:6" x14ac:dyDescent="0.25">
      <c r="A97" s="8" t="s">
        <v>2</v>
      </c>
      <c r="B97" s="13" t="s">
        <v>77</v>
      </c>
      <c r="C97" s="20">
        <f>TRUNC(((1+1/3)/12)/12,4)</f>
        <v>9.1999999999999998E-3</v>
      </c>
      <c r="D97" s="14">
        <f t="shared" ref="D97:D102" si="1">TRUNC(($D$33+$D$76+$D$88)*C97,2)</f>
        <v>46.78</v>
      </c>
    </row>
    <row r="98" spans="1:6" x14ac:dyDescent="0.25">
      <c r="A98" s="8" t="s">
        <v>4</v>
      </c>
      <c r="B98" s="13" t="s">
        <v>78</v>
      </c>
      <c r="C98" s="20">
        <f>TRUNC(((2/30)/12),4)</f>
        <v>5.4999999999999997E-3</v>
      </c>
      <c r="D98" s="14">
        <f t="shared" si="1"/>
        <v>27.97</v>
      </c>
    </row>
    <row r="99" spans="1:6" x14ac:dyDescent="0.25">
      <c r="A99" s="8" t="s">
        <v>6</v>
      </c>
      <c r="B99" s="13" t="s">
        <v>79</v>
      </c>
      <c r="C99" s="20">
        <f>TRUNC(((5/30)/12)*2%,4)</f>
        <v>2.0000000000000001E-4</v>
      </c>
      <c r="D99" s="14">
        <f t="shared" si="1"/>
        <v>1.01</v>
      </c>
    </row>
    <row r="100" spans="1:6" x14ac:dyDescent="0.25">
      <c r="A100" s="8" t="s">
        <v>8</v>
      </c>
      <c r="B100" s="13" t="s">
        <v>80</v>
      </c>
      <c r="C100" s="20">
        <f>TRUNC(((15/30)/12)*8%,4)</f>
        <v>3.3E-3</v>
      </c>
      <c r="D100" s="14">
        <f t="shared" si="1"/>
        <v>16.78</v>
      </c>
    </row>
    <row r="101" spans="1:6" x14ac:dyDescent="0.25">
      <c r="A101" s="8" t="s">
        <v>31</v>
      </c>
      <c r="B101" s="13" t="s">
        <v>81</v>
      </c>
      <c r="C101" s="20">
        <f>((1+1/3)/12)*3%*(4/12)</f>
        <v>1.1111111111111109E-3</v>
      </c>
      <c r="D101" s="14">
        <f t="shared" si="1"/>
        <v>5.65</v>
      </c>
    </row>
    <row r="102" spans="1:6" x14ac:dyDescent="0.25">
      <c r="A102" s="8" t="s">
        <v>51</v>
      </c>
      <c r="B102" s="13" t="s">
        <v>82</v>
      </c>
      <c r="C102" s="20"/>
      <c r="D102" s="14">
        <f t="shared" si="1"/>
        <v>0</v>
      </c>
    </row>
    <row r="103" spans="1:6" ht="12.75" customHeight="1" x14ac:dyDescent="0.25">
      <c r="A103" s="110" t="s">
        <v>56</v>
      </c>
      <c r="B103" s="110"/>
      <c r="C103" s="110"/>
      <c r="D103" s="19">
        <f>SUM(D97:D102)</f>
        <v>98.190000000000012</v>
      </c>
      <c r="E103" s="26"/>
      <c r="F103" s="26"/>
    </row>
    <row r="106" spans="1:6" x14ac:dyDescent="0.25">
      <c r="A106" s="112" t="s">
        <v>83</v>
      </c>
      <c r="B106" s="112"/>
      <c r="C106" s="112"/>
      <c r="D106" s="112"/>
    </row>
    <row r="107" spans="1:6" x14ac:dyDescent="0.25">
      <c r="A107" s="16"/>
    </row>
    <row r="108" spans="1:6" ht="12.75" customHeight="1" x14ac:dyDescent="0.25">
      <c r="A108" s="12" t="s">
        <v>84</v>
      </c>
      <c r="B108" s="114" t="s">
        <v>85</v>
      </c>
      <c r="C108" s="114"/>
      <c r="D108" s="12" t="s">
        <v>26</v>
      </c>
    </row>
    <row r="109" spans="1:6" ht="12.75" customHeight="1" x14ac:dyDescent="0.25">
      <c r="A109" s="8" t="s">
        <v>2</v>
      </c>
      <c r="B109" s="111" t="s">
        <v>86</v>
      </c>
      <c r="C109" s="111"/>
      <c r="D109" s="14">
        <f>((D33+D76+D88)/220)*22*0</f>
        <v>0</v>
      </c>
    </row>
    <row r="110" spans="1:6" ht="12.75" customHeight="1" x14ac:dyDescent="0.25">
      <c r="A110" s="110" t="s">
        <v>35</v>
      </c>
      <c r="B110" s="110"/>
      <c r="C110" s="110"/>
      <c r="D110" s="19">
        <f>SUM(D109)</f>
        <v>0</v>
      </c>
    </row>
    <row r="113" spans="1:4" x14ac:dyDescent="0.25">
      <c r="A113" s="112" t="s">
        <v>87</v>
      </c>
      <c r="B113" s="112"/>
      <c r="C113" s="112"/>
      <c r="D113" s="112"/>
    </row>
    <row r="114" spans="1:4" x14ac:dyDescent="0.25">
      <c r="A114" s="16"/>
    </row>
    <row r="115" spans="1:4" ht="12.75" customHeight="1" x14ac:dyDescent="0.25">
      <c r="A115" s="12">
        <v>4</v>
      </c>
      <c r="B115" s="110" t="s">
        <v>88</v>
      </c>
      <c r="C115" s="110"/>
      <c r="D115" s="12" t="s">
        <v>26</v>
      </c>
    </row>
    <row r="116" spans="1:4" ht="12.75" customHeight="1" x14ac:dyDescent="0.25">
      <c r="A116" s="8" t="s">
        <v>75</v>
      </c>
      <c r="B116" s="111" t="s">
        <v>76</v>
      </c>
      <c r="C116" s="111"/>
      <c r="D116" s="23">
        <f>D103</f>
        <v>98.190000000000012</v>
      </c>
    </row>
    <row r="117" spans="1:4" ht="12.75" customHeight="1" x14ac:dyDescent="0.25">
      <c r="A117" s="8" t="s">
        <v>84</v>
      </c>
      <c r="B117" s="111" t="s">
        <v>85</v>
      </c>
      <c r="C117" s="111"/>
      <c r="D117" s="23">
        <f>D110</f>
        <v>0</v>
      </c>
    </row>
    <row r="118" spans="1:4" ht="12.75" customHeight="1" x14ac:dyDescent="0.25">
      <c r="A118" s="110" t="s">
        <v>35</v>
      </c>
      <c r="B118" s="110"/>
      <c r="C118" s="110"/>
      <c r="D118" s="19">
        <f>SUM(D116:D117)</f>
        <v>98.190000000000012</v>
      </c>
    </row>
    <row r="121" spans="1:4" x14ac:dyDescent="0.25">
      <c r="A121" s="105" t="s">
        <v>89</v>
      </c>
      <c r="B121" s="105"/>
      <c r="C121" s="105"/>
      <c r="D121" s="105"/>
    </row>
    <row r="123" spans="1:4" ht="12.75" customHeight="1" x14ac:dyDescent="0.25">
      <c r="A123" s="12">
        <v>5</v>
      </c>
      <c r="B123" s="115" t="s">
        <v>90</v>
      </c>
      <c r="C123" s="115"/>
      <c r="D123" s="12" t="s">
        <v>26</v>
      </c>
    </row>
    <row r="124" spans="1:4" x14ac:dyDescent="0.25">
      <c r="A124" s="8" t="s">
        <v>2</v>
      </c>
      <c r="B124" s="13" t="s">
        <v>91</v>
      </c>
      <c r="C124" s="13"/>
      <c r="D124" s="14">
        <v>66.040000000000006</v>
      </c>
    </row>
    <row r="125" spans="1:4" x14ac:dyDescent="0.25">
      <c r="A125" s="8" t="s">
        <v>4</v>
      </c>
      <c r="B125" s="13" t="s">
        <v>92</v>
      </c>
      <c r="C125" s="13"/>
      <c r="D125" s="14">
        <v>61.36</v>
      </c>
    </row>
    <row r="126" spans="1:4" x14ac:dyDescent="0.25">
      <c r="A126" s="8" t="s">
        <v>6</v>
      </c>
      <c r="B126" s="13" t="s">
        <v>93</v>
      </c>
      <c r="C126" s="13"/>
      <c r="D126" s="14">
        <v>40.22</v>
      </c>
    </row>
    <row r="127" spans="1:4" x14ac:dyDescent="0.25">
      <c r="A127" s="8" t="s">
        <v>8</v>
      </c>
      <c r="B127" s="13" t="s">
        <v>34</v>
      </c>
      <c r="C127" s="13"/>
      <c r="D127" s="14"/>
    </row>
    <row r="128" spans="1:4" ht="12.75" customHeight="1" x14ac:dyDescent="0.25">
      <c r="A128" s="110" t="s">
        <v>56</v>
      </c>
      <c r="B128" s="110"/>
      <c r="C128" s="110"/>
      <c r="D128" s="15">
        <f>SUM(D124:D127)</f>
        <v>167.62</v>
      </c>
    </row>
    <row r="131" spans="1:4" x14ac:dyDescent="0.25">
      <c r="A131" s="105" t="s">
        <v>94</v>
      </c>
      <c r="B131" s="105"/>
      <c r="C131" s="105"/>
      <c r="D131" s="105"/>
    </row>
    <row r="133" spans="1:4" x14ac:dyDescent="0.25">
      <c r="A133" s="12">
        <v>6</v>
      </c>
      <c r="B133" s="28" t="s">
        <v>95</v>
      </c>
      <c r="C133" s="12" t="s">
        <v>45</v>
      </c>
      <c r="D133" s="12" t="s">
        <v>26</v>
      </c>
    </row>
    <row r="134" spans="1:4" x14ac:dyDescent="0.25">
      <c r="A134" s="8" t="s">
        <v>2</v>
      </c>
      <c r="B134" s="13" t="s">
        <v>96</v>
      </c>
      <c r="C134" s="20">
        <v>0.05</v>
      </c>
      <c r="D134" s="23">
        <f>D154*C134</f>
        <v>267.56860999999998</v>
      </c>
    </row>
    <row r="135" spans="1:4" x14ac:dyDescent="0.25">
      <c r="A135" s="8" t="s">
        <v>4</v>
      </c>
      <c r="B135" s="13" t="s">
        <v>97</v>
      </c>
      <c r="C135" s="20">
        <v>0.06</v>
      </c>
      <c r="D135" s="14">
        <f>(D154+D134)*C135</f>
        <v>337.13644859999999</v>
      </c>
    </row>
    <row r="136" spans="1:4" x14ac:dyDescent="0.25">
      <c r="A136" s="8" t="s">
        <v>6</v>
      </c>
      <c r="B136" s="13" t="s">
        <v>98</v>
      </c>
      <c r="C136" s="17">
        <f>SUM(C137:C142)</f>
        <v>8.6499999999999994E-2</v>
      </c>
      <c r="D136" s="14">
        <f>(D154+D134+D135)*C136/(1-C136)</f>
        <v>563.9854218597701</v>
      </c>
    </row>
    <row r="137" spans="1:4" x14ac:dyDescent="0.25">
      <c r="A137" s="8"/>
      <c r="B137" s="13" t="s">
        <v>99</v>
      </c>
      <c r="C137" s="20"/>
      <c r="D137" s="23">
        <f t="shared" ref="D137:D142" si="2">$D$156*C137</f>
        <v>0</v>
      </c>
    </row>
    <row r="138" spans="1:4" x14ac:dyDescent="0.25">
      <c r="A138" s="8"/>
      <c r="B138" s="13" t="s">
        <v>100</v>
      </c>
      <c r="C138" s="20">
        <v>6.4999999999999997E-3</v>
      </c>
      <c r="D138" s="23">
        <f t="shared" si="2"/>
        <v>42.380407422988505</v>
      </c>
    </row>
    <row r="139" spans="1:4" x14ac:dyDescent="0.25">
      <c r="A139" s="8"/>
      <c r="B139" s="13" t="s">
        <v>101</v>
      </c>
      <c r="C139" s="20">
        <v>0.03</v>
      </c>
      <c r="D139" s="23">
        <f t="shared" si="2"/>
        <v>195.60188041379311</v>
      </c>
    </row>
    <row r="140" spans="1:4" x14ac:dyDescent="0.25">
      <c r="A140" s="8"/>
      <c r="B140" s="13" t="s">
        <v>102</v>
      </c>
      <c r="C140" s="65"/>
      <c r="D140" s="23">
        <f t="shared" si="2"/>
        <v>0</v>
      </c>
    </row>
    <row r="141" spans="1:4" x14ac:dyDescent="0.25">
      <c r="A141" s="8"/>
      <c r="B141" s="13" t="s">
        <v>103</v>
      </c>
      <c r="C141" s="20"/>
      <c r="D141" s="23">
        <f t="shared" si="2"/>
        <v>0</v>
      </c>
    </row>
    <row r="142" spans="1:4" x14ac:dyDescent="0.25">
      <c r="A142" s="8"/>
      <c r="B142" s="13" t="s">
        <v>104</v>
      </c>
      <c r="C142" s="20">
        <v>0.05</v>
      </c>
      <c r="D142" s="23">
        <f t="shared" si="2"/>
        <v>326.00313402298855</v>
      </c>
    </row>
    <row r="143" spans="1:4" ht="13.5" customHeight="1" x14ac:dyDescent="0.25">
      <c r="A143" s="116" t="s">
        <v>56</v>
      </c>
      <c r="B143" s="116"/>
      <c r="C143" s="29">
        <f>ROUND((1+C135)*(1+C134)/(1-C136)-1,4)</f>
        <v>0.21840000000000001</v>
      </c>
      <c r="D143" s="19">
        <f>SUM(D134:D136)</f>
        <v>1168.6904804597702</v>
      </c>
    </row>
    <row r="146" spans="1:4" x14ac:dyDescent="0.25">
      <c r="A146" s="105" t="s">
        <v>105</v>
      </c>
      <c r="B146" s="105"/>
      <c r="C146" s="105"/>
      <c r="D146" s="105"/>
    </row>
    <row r="148" spans="1:4" ht="12.75" customHeight="1" x14ac:dyDescent="0.25">
      <c r="A148" s="12"/>
      <c r="B148" s="110" t="s">
        <v>106</v>
      </c>
      <c r="C148" s="110"/>
      <c r="D148" s="12" t="s">
        <v>26</v>
      </c>
    </row>
    <row r="149" spans="1:4" ht="12.75" customHeight="1" x14ac:dyDescent="0.25">
      <c r="A149" s="12" t="s">
        <v>2</v>
      </c>
      <c r="B149" s="111" t="s">
        <v>24</v>
      </c>
      <c r="C149" s="111"/>
      <c r="D149" s="30">
        <f>D33</f>
        <v>2675.4960000000001</v>
      </c>
    </row>
    <row r="150" spans="1:4" ht="12.75" customHeight="1" x14ac:dyDescent="0.25">
      <c r="A150" s="12" t="s">
        <v>4</v>
      </c>
      <c r="B150" s="111" t="s">
        <v>36</v>
      </c>
      <c r="C150" s="111"/>
      <c r="D150" s="30">
        <f>D76</f>
        <v>2245.2961999999998</v>
      </c>
    </row>
    <row r="151" spans="1:4" ht="12.75" customHeight="1" x14ac:dyDescent="0.25">
      <c r="A151" s="12" t="s">
        <v>6</v>
      </c>
      <c r="B151" s="111" t="s">
        <v>65</v>
      </c>
      <c r="C151" s="111"/>
      <c r="D151" s="30">
        <f>D88</f>
        <v>164.76999999999998</v>
      </c>
    </row>
    <row r="152" spans="1:4" ht="12.75" customHeight="1" x14ac:dyDescent="0.25">
      <c r="A152" s="12" t="s">
        <v>8</v>
      </c>
      <c r="B152" s="111" t="s">
        <v>73</v>
      </c>
      <c r="C152" s="111"/>
      <c r="D152" s="30">
        <f>D118</f>
        <v>98.190000000000012</v>
      </c>
    </row>
    <row r="153" spans="1:4" ht="12.75" customHeight="1" x14ac:dyDescent="0.25">
      <c r="A153" s="12" t="s">
        <v>31</v>
      </c>
      <c r="B153" s="111" t="s">
        <v>89</v>
      </c>
      <c r="C153" s="111"/>
      <c r="D153" s="30">
        <f>D128</f>
        <v>167.62</v>
      </c>
    </row>
    <row r="154" spans="1:4" ht="12.75" customHeight="1" x14ac:dyDescent="0.25">
      <c r="A154" s="110" t="s">
        <v>107</v>
      </c>
      <c r="B154" s="110"/>
      <c r="C154" s="110"/>
      <c r="D154" s="31">
        <f>SUM(D149:D153)</f>
        <v>5351.3721999999998</v>
      </c>
    </row>
    <row r="155" spans="1:4" ht="12.75" customHeight="1" x14ac:dyDescent="0.25">
      <c r="A155" s="12" t="s">
        <v>51</v>
      </c>
      <c r="B155" s="111" t="s">
        <v>108</v>
      </c>
      <c r="C155" s="111"/>
      <c r="D155" s="32">
        <f>D143</f>
        <v>1168.6904804597702</v>
      </c>
    </row>
    <row r="156" spans="1:4" ht="12.75" customHeight="1" x14ac:dyDescent="0.25">
      <c r="A156" s="110" t="s">
        <v>109</v>
      </c>
      <c r="B156" s="110"/>
      <c r="C156" s="110"/>
      <c r="D156" s="31">
        <f>SUM(D154:D155)</f>
        <v>6520.0626804597705</v>
      </c>
    </row>
  </sheetData>
  <mergeCells count="71">
    <mergeCell ref="A156:C156"/>
    <mergeCell ref="B151:C151"/>
    <mergeCell ref="B152:C152"/>
    <mergeCell ref="B153:C153"/>
    <mergeCell ref="A154:C154"/>
    <mergeCell ref="B155:C155"/>
    <mergeCell ref="A143:B143"/>
    <mergeCell ref="A146:D146"/>
    <mergeCell ref="B148:C148"/>
    <mergeCell ref="B149:C149"/>
    <mergeCell ref="B150:C150"/>
    <mergeCell ref="A118:C118"/>
    <mergeCell ref="A121:D121"/>
    <mergeCell ref="B123:C123"/>
    <mergeCell ref="A128:C128"/>
    <mergeCell ref="A131:D131"/>
    <mergeCell ref="A110:C110"/>
    <mergeCell ref="A113:D113"/>
    <mergeCell ref="B115:C115"/>
    <mergeCell ref="B116:C116"/>
    <mergeCell ref="B117:C117"/>
    <mergeCell ref="B96:C96"/>
    <mergeCell ref="A103:C103"/>
    <mergeCell ref="A106:D106"/>
    <mergeCell ref="B108:C108"/>
    <mergeCell ref="B109:C109"/>
    <mergeCell ref="A79:D79"/>
    <mergeCell ref="B81:C81"/>
    <mergeCell ref="A88:C88"/>
    <mergeCell ref="A91:D91"/>
    <mergeCell ref="A94:D94"/>
    <mergeCell ref="B72:C72"/>
    <mergeCell ref="B73:C73"/>
    <mergeCell ref="B74:C74"/>
    <mergeCell ref="B75:C75"/>
    <mergeCell ref="A76:C76"/>
    <mergeCell ref="B64:C64"/>
    <mergeCell ref="B65:C65"/>
    <mergeCell ref="B66:C66"/>
    <mergeCell ref="A67:C67"/>
    <mergeCell ref="A70:D70"/>
    <mergeCell ref="A46:D46"/>
    <mergeCell ref="A57:B57"/>
    <mergeCell ref="A60:D60"/>
    <mergeCell ref="B62:C62"/>
    <mergeCell ref="B63:C63"/>
    <mergeCell ref="A33:C33"/>
    <mergeCell ref="A36:D36"/>
    <mergeCell ref="A38:D38"/>
    <mergeCell ref="B40:C40"/>
    <mergeCell ref="A43:B43"/>
    <mergeCell ref="B28:C28"/>
    <mergeCell ref="B29:C29"/>
    <mergeCell ref="B30:C30"/>
    <mergeCell ref="B31:C31"/>
    <mergeCell ref="B32:C32"/>
    <mergeCell ref="C21:D21"/>
    <mergeCell ref="A23:D23"/>
    <mergeCell ref="B25:C25"/>
    <mergeCell ref="B26:C26"/>
    <mergeCell ref="B27:C27"/>
    <mergeCell ref="A15:D15"/>
    <mergeCell ref="C17:D17"/>
    <mergeCell ref="C18:D18"/>
    <mergeCell ref="C19:D19"/>
    <mergeCell ref="C20:D20"/>
    <mergeCell ref="A1:D1"/>
    <mergeCell ref="A3:D3"/>
    <mergeCell ref="A10:D10"/>
    <mergeCell ref="A12:B12"/>
    <mergeCell ref="A13:B13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6"/>
  <sheetViews>
    <sheetView topLeftCell="A49" zoomScale="115" zoomScaleNormal="115" workbookViewId="0">
      <selection activeCell="D64" sqref="D64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104" t="s">
        <v>0</v>
      </c>
      <c r="B1" s="104"/>
      <c r="C1" s="104"/>
      <c r="D1" s="104"/>
    </row>
    <row r="2" spans="1:4" ht="15.75" x14ac:dyDescent="0.25">
      <c r="A2" s="2"/>
      <c r="B2" s="2"/>
      <c r="C2" s="2"/>
      <c r="D2" s="2"/>
    </row>
    <row r="3" spans="1:4" x14ac:dyDescent="0.25">
      <c r="A3" s="105" t="s">
        <v>1</v>
      </c>
      <c r="B3" s="105"/>
      <c r="C3" s="105"/>
      <c r="D3" s="105"/>
    </row>
    <row r="4" spans="1:4" x14ac:dyDescent="0.25">
      <c r="A4" s="3"/>
      <c r="B4" s="3"/>
      <c r="C4" s="3"/>
      <c r="D4" s="3"/>
    </row>
    <row r="5" spans="1:4" x14ac:dyDescent="0.25">
      <c r="A5" s="4" t="s">
        <v>2</v>
      </c>
      <c r="B5" s="5" t="s">
        <v>3</v>
      </c>
      <c r="C5" s="6"/>
      <c r="D5" s="7"/>
    </row>
    <row r="6" spans="1:4" x14ac:dyDescent="0.25">
      <c r="A6" s="4" t="s">
        <v>4</v>
      </c>
      <c r="B6" s="5" t="s">
        <v>5</v>
      </c>
      <c r="C6" s="6"/>
      <c r="D6" s="7"/>
    </row>
    <row r="7" spans="1:4" x14ac:dyDescent="0.25">
      <c r="A7" s="4" t="s">
        <v>6</v>
      </c>
      <c r="B7" s="5" t="s">
        <v>7</v>
      </c>
      <c r="C7" s="6"/>
      <c r="D7" s="7"/>
    </row>
    <row r="8" spans="1:4" x14ac:dyDescent="0.25">
      <c r="A8" s="4" t="s">
        <v>8</v>
      </c>
      <c r="B8" s="5" t="s">
        <v>9</v>
      </c>
      <c r="C8" s="6"/>
      <c r="D8" s="7">
        <v>24</v>
      </c>
    </row>
    <row r="10" spans="1:4" x14ac:dyDescent="0.25">
      <c r="A10" s="105" t="s">
        <v>10</v>
      </c>
      <c r="B10" s="105"/>
      <c r="C10" s="105"/>
      <c r="D10" s="105"/>
    </row>
    <row r="11" spans="1:4" x14ac:dyDescent="0.25">
      <c r="A11" s="3"/>
      <c r="B11" s="3"/>
      <c r="C11" s="3"/>
      <c r="D11" s="3"/>
    </row>
    <row r="12" spans="1:4" ht="38.25" customHeight="1" x14ac:dyDescent="0.25">
      <c r="A12" s="106" t="s">
        <v>11</v>
      </c>
      <c r="B12" s="106"/>
      <c r="C12" s="8" t="s">
        <v>12</v>
      </c>
      <c r="D12" s="9" t="s">
        <v>13</v>
      </c>
    </row>
    <row r="13" spans="1:4" s="11" customFormat="1" ht="12.75" x14ac:dyDescent="0.2">
      <c r="A13" s="107" t="s">
        <v>134</v>
      </c>
      <c r="B13" s="107"/>
      <c r="C13" s="10" t="s">
        <v>15</v>
      </c>
      <c r="D13" s="10">
        <v>2</v>
      </c>
    </row>
    <row r="15" spans="1:4" x14ac:dyDescent="0.25">
      <c r="A15" s="105" t="s">
        <v>16</v>
      </c>
      <c r="B15" s="105"/>
      <c r="C15" s="105"/>
      <c r="D15" s="105"/>
    </row>
    <row r="16" spans="1:4" x14ac:dyDescent="0.25">
      <c r="A16" s="3"/>
      <c r="B16" s="3"/>
      <c r="C16" s="3"/>
      <c r="D16" s="3"/>
    </row>
    <row r="17" spans="1:4" x14ac:dyDescent="0.25">
      <c r="A17" s="4">
        <v>1</v>
      </c>
      <c r="B17" s="4" t="s">
        <v>17</v>
      </c>
      <c r="C17" s="108" t="s">
        <v>115</v>
      </c>
      <c r="D17" s="108"/>
    </row>
    <row r="18" spans="1:4" x14ac:dyDescent="0.25">
      <c r="A18" s="4">
        <v>2</v>
      </c>
      <c r="B18" s="4" t="s">
        <v>19</v>
      </c>
      <c r="C18" s="108" t="s">
        <v>135</v>
      </c>
      <c r="D18" s="108"/>
    </row>
    <row r="19" spans="1:4" x14ac:dyDescent="0.25">
      <c r="A19" s="4">
        <v>3</v>
      </c>
      <c r="B19" s="4" t="s">
        <v>21</v>
      </c>
      <c r="C19" s="108">
        <v>2229.58</v>
      </c>
      <c r="D19" s="108"/>
    </row>
    <row r="20" spans="1:4" x14ac:dyDescent="0.25">
      <c r="A20" s="4">
        <v>4</v>
      </c>
      <c r="B20" s="4" t="s">
        <v>22</v>
      </c>
      <c r="C20" s="108" t="s">
        <v>196</v>
      </c>
      <c r="D20" s="108"/>
    </row>
    <row r="21" spans="1:4" x14ac:dyDescent="0.25">
      <c r="A21" s="4">
        <v>5</v>
      </c>
      <c r="B21" s="4" t="s">
        <v>23</v>
      </c>
      <c r="C21" s="108"/>
      <c r="D21" s="108"/>
    </row>
    <row r="23" spans="1:4" x14ac:dyDescent="0.25">
      <c r="A23" s="105" t="s">
        <v>24</v>
      </c>
      <c r="B23" s="105"/>
      <c r="C23" s="105"/>
      <c r="D23" s="105"/>
    </row>
    <row r="25" spans="1:4" ht="12.75" customHeight="1" x14ac:dyDescent="0.25">
      <c r="A25" s="12">
        <v>1</v>
      </c>
      <c r="B25" s="110" t="s">
        <v>25</v>
      </c>
      <c r="C25" s="110"/>
      <c r="D25" s="12" t="s">
        <v>26</v>
      </c>
    </row>
    <row r="26" spans="1:4" ht="12.75" customHeight="1" x14ac:dyDescent="0.25">
      <c r="A26" s="8" t="s">
        <v>2</v>
      </c>
      <c r="B26" s="111" t="s">
        <v>27</v>
      </c>
      <c r="C26" s="111"/>
      <c r="D26" s="14">
        <v>2229.58</v>
      </c>
    </row>
    <row r="27" spans="1:4" ht="12.75" customHeight="1" x14ac:dyDescent="0.25">
      <c r="A27" s="8" t="s">
        <v>4</v>
      </c>
      <c r="B27" s="111" t="s">
        <v>28</v>
      </c>
      <c r="C27" s="111"/>
      <c r="D27" s="14"/>
    </row>
    <row r="28" spans="1:4" ht="12.75" customHeight="1" x14ac:dyDescent="0.25">
      <c r="A28" s="8" t="s">
        <v>6</v>
      </c>
      <c r="B28" s="111" t="s">
        <v>29</v>
      </c>
      <c r="C28" s="111"/>
      <c r="D28" s="14">
        <f>D26*0.2</f>
        <v>445.916</v>
      </c>
    </row>
    <row r="29" spans="1:4" ht="12.75" customHeight="1" x14ac:dyDescent="0.25">
      <c r="A29" s="8" t="s">
        <v>8</v>
      </c>
      <c r="B29" s="111" t="s">
        <v>30</v>
      </c>
      <c r="C29" s="111"/>
      <c r="D29" s="14"/>
    </row>
    <row r="30" spans="1:4" ht="12.75" customHeight="1" x14ac:dyDescent="0.25">
      <c r="A30" s="8" t="s">
        <v>31</v>
      </c>
      <c r="B30" s="111" t="s">
        <v>32</v>
      </c>
      <c r="C30" s="111"/>
      <c r="D30" s="14"/>
    </row>
    <row r="31" spans="1:4" x14ac:dyDescent="0.25">
      <c r="A31" s="8"/>
      <c r="B31" s="111"/>
      <c r="C31" s="111"/>
      <c r="D31" s="14"/>
    </row>
    <row r="32" spans="1:4" ht="12.75" customHeight="1" x14ac:dyDescent="0.25">
      <c r="A32" s="8" t="s">
        <v>33</v>
      </c>
      <c r="B32" s="111" t="s">
        <v>34</v>
      </c>
      <c r="C32" s="111"/>
      <c r="D32" s="14"/>
    </row>
    <row r="33" spans="1:4" ht="12.75" customHeight="1" x14ac:dyDescent="0.25">
      <c r="A33" s="110" t="s">
        <v>35</v>
      </c>
      <c r="B33" s="110"/>
      <c r="C33" s="110"/>
      <c r="D33" s="15">
        <f>SUM(D26:D32)</f>
        <v>2675.4960000000001</v>
      </c>
    </row>
    <row r="36" spans="1:4" x14ac:dyDescent="0.25">
      <c r="A36" s="105" t="s">
        <v>36</v>
      </c>
      <c r="B36" s="105"/>
      <c r="C36" s="105"/>
      <c r="D36" s="105"/>
    </row>
    <row r="37" spans="1:4" x14ac:dyDescent="0.25">
      <c r="A37" s="16"/>
    </row>
    <row r="38" spans="1:4" x14ac:dyDescent="0.25">
      <c r="A38" s="112" t="s">
        <v>37</v>
      </c>
      <c r="B38" s="112"/>
      <c r="C38" s="112"/>
      <c r="D38" s="112"/>
    </row>
    <row r="40" spans="1:4" ht="12.75" customHeight="1" x14ac:dyDescent="0.25">
      <c r="A40" s="12" t="s">
        <v>38</v>
      </c>
      <c r="B40" s="110" t="s">
        <v>39</v>
      </c>
      <c r="C40" s="110"/>
      <c r="D40" s="12" t="s">
        <v>26</v>
      </c>
    </row>
    <row r="41" spans="1:4" x14ac:dyDescent="0.25">
      <c r="A41" s="8" t="s">
        <v>2</v>
      </c>
      <c r="B41" s="13" t="s">
        <v>40</v>
      </c>
      <c r="C41" s="17">
        <f>TRUNC(1/12,4)</f>
        <v>8.3299999999999999E-2</v>
      </c>
      <c r="D41" s="14">
        <f>TRUNC($D$33*C41,2)</f>
        <v>222.86</v>
      </c>
    </row>
    <row r="42" spans="1:4" x14ac:dyDescent="0.25">
      <c r="A42" s="8" t="s">
        <v>4</v>
      </c>
      <c r="B42" s="13" t="s">
        <v>41</v>
      </c>
      <c r="C42" s="17">
        <f>TRUNC(((1+1/3)/12),4)</f>
        <v>0.1111</v>
      </c>
      <c r="D42" s="14">
        <f>TRUNC($D$33*C42,2)</f>
        <v>297.24</v>
      </c>
    </row>
    <row r="43" spans="1:4" ht="12.75" customHeight="1" x14ac:dyDescent="0.25">
      <c r="A43" s="110" t="s">
        <v>35</v>
      </c>
      <c r="B43" s="110"/>
      <c r="C43" s="18">
        <f>SUM(C41:C42)</f>
        <v>0.19440000000000002</v>
      </c>
      <c r="D43" s="19">
        <f>SUM(D41:D42)</f>
        <v>520.1</v>
      </c>
    </row>
    <row r="46" spans="1:4" ht="12.75" customHeight="1" x14ac:dyDescent="0.25">
      <c r="A46" s="113" t="s">
        <v>42</v>
      </c>
      <c r="B46" s="113"/>
      <c r="C46" s="113"/>
      <c r="D46" s="113"/>
    </row>
    <row r="48" spans="1:4" x14ac:dyDescent="0.25">
      <c r="A48" s="12" t="s">
        <v>43</v>
      </c>
      <c r="B48" s="12" t="s">
        <v>44</v>
      </c>
      <c r="C48" s="12" t="s">
        <v>45</v>
      </c>
      <c r="D48" s="12" t="s">
        <v>26</v>
      </c>
    </row>
    <row r="49" spans="1:4" x14ac:dyDescent="0.25">
      <c r="A49" s="8" t="s">
        <v>2</v>
      </c>
      <c r="B49" s="13" t="s">
        <v>46</v>
      </c>
      <c r="C49" s="20">
        <v>0.2</v>
      </c>
      <c r="D49" s="14">
        <f t="shared" ref="D49:D56" si="0">TRUNC(($D$33+$D$43)*C49,2)</f>
        <v>639.11</v>
      </c>
    </row>
    <row r="50" spans="1:4" x14ac:dyDescent="0.25">
      <c r="A50" s="8" t="s">
        <v>4</v>
      </c>
      <c r="B50" s="13" t="s">
        <v>47</v>
      </c>
      <c r="C50" s="20">
        <v>2.5000000000000001E-2</v>
      </c>
      <c r="D50" s="14">
        <f t="shared" si="0"/>
        <v>79.88</v>
      </c>
    </row>
    <row r="51" spans="1:4" x14ac:dyDescent="0.25">
      <c r="A51" s="8" t="s">
        <v>6</v>
      </c>
      <c r="B51" s="13" t="s">
        <v>48</v>
      </c>
      <c r="C51" s="21">
        <v>0.03</v>
      </c>
      <c r="D51" s="14">
        <f t="shared" si="0"/>
        <v>95.86</v>
      </c>
    </row>
    <row r="52" spans="1:4" x14ac:dyDescent="0.25">
      <c r="A52" s="8" t="s">
        <v>8</v>
      </c>
      <c r="B52" s="13" t="s">
        <v>49</v>
      </c>
      <c r="C52" s="20">
        <v>1.4999999999999999E-2</v>
      </c>
      <c r="D52" s="14">
        <f t="shared" si="0"/>
        <v>47.93</v>
      </c>
    </row>
    <row r="53" spans="1:4" x14ac:dyDescent="0.25">
      <c r="A53" s="8" t="s">
        <v>31</v>
      </c>
      <c r="B53" s="13" t="s">
        <v>50</v>
      </c>
      <c r="C53" s="20">
        <v>0.01</v>
      </c>
      <c r="D53" s="14">
        <f t="shared" si="0"/>
        <v>31.95</v>
      </c>
    </row>
    <row r="54" spans="1:4" x14ac:dyDescent="0.25">
      <c r="A54" s="8" t="s">
        <v>51</v>
      </c>
      <c r="B54" s="13" t="s">
        <v>52</v>
      </c>
      <c r="C54" s="20">
        <v>6.0000000000000001E-3</v>
      </c>
      <c r="D54" s="14">
        <f t="shared" si="0"/>
        <v>19.170000000000002</v>
      </c>
    </row>
    <row r="55" spans="1:4" x14ac:dyDescent="0.25">
      <c r="A55" s="8" t="s">
        <v>33</v>
      </c>
      <c r="B55" s="13" t="s">
        <v>53</v>
      </c>
      <c r="C55" s="20">
        <v>2E-3</v>
      </c>
      <c r="D55" s="14">
        <f t="shared" si="0"/>
        <v>6.39</v>
      </c>
    </row>
    <row r="56" spans="1:4" x14ac:dyDescent="0.25">
      <c r="A56" s="8" t="s">
        <v>54</v>
      </c>
      <c r="B56" s="13" t="s">
        <v>55</v>
      </c>
      <c r="C56" s="20">
        <v>0.08</v>
      </c>
      <c r="D56" s="14">
        <f t="shared" si="0"/>
        <v>255.64</v>
      </c>
    </row>
    <row r="57" spans="1:4" ht="12.75" customHeight="1" x14ac:dyDescent="0.25">
      <c r="A57" s="110" t="s">
        <v>56</v>
      </c>
      <c r="B57" s="110"/>
      <c r="C57" s="22">
        <f>SUM(C49:C56)</f>
        <v>0.36800000000000005</v>
      </c>
      <c r="D57" s="19">
        <f>SUM(D49:D56)</f>
        <v>1175.9299999999998</v>
      </c>
    </row>
    <row r="60" spans="1:4" x14ac:dyDescent="0.25">
      <c r="A60" s="112" t="s">
        <v>57</v>
      </c>
      <c r="B60" s="112"/>
      <c r="C60" s="112"/>
      <c r="D60" s="112"/>
    </row>
    <row r="62" spans="1:4" ht="12.75" customHeight="1" x14ac:dyDescent="0.25">
      <c r="A62" s="12" t="s">
        <v>58</v>
      </c>
      <c r="B62" s="114" t="s">
        <v>59</v>
      </c>
      <c r="C62" s="114"/>
      <c r="D62" s="12" t="s">
        <v>26</v>
      </c>
    </row>
    <row r="63" spans="1:4" ht="12.75" customHeight="1" x14ac:dyDescent="0.25">
      <c r="A63" s="8" t="s">
        <v>2</v>
      </c>
      <c r="B63" s="111" t="s">
        <v>60</v>
      </c>
      <c r="C63" s="111"/>
      <c r="D63" s="14">
        <f>IF((26*2*4.9)&gt;(D26*0.06),(26*2*4.9)-(D26*0.06),0)</f>
        <v>121.02520000000001</v>
      </c>
    </row>
    <row r="64" spans="1:4" ht="12.75" customHeight="1" x14ac:dyDescent="0.25">
      <c r="A64" s="8" t="s">
        <v>4</v>
      </c>
      <c r="B64" s="111" t="s">
        <v>61</v>
      </c>
      <c r="C64" s="111"/>
      <c r="D64" s="14">
        <f>22*20.49*0.95</f>
        <v>428.24099999999993</v>
      </c>
    </row>
    <row r="65" spans="1:5" ht="12.75" customHeight="1" x14ac:dyDescent="0.25">
      <c r="A65" s="8" t="s">
        <v>6</v>
      </c>
      <c r="B65" s="111" t="s">
        <v>62</v>
      </c>
      <c r="C65" s="111"/>
      <c r="D65" s="14"/>
    </row>
    <row r="66" spans="1:5" ht="12.75" customHeight="1" x14ac:dyDescent="0.25">
      <c r="A66" s="8" t="s">
        <v>8</v>
      </c>
      <c r="B66" s="111" t="s">
        <v>34</v>
      </c>
      <c r="C66" s="111"/>
      <c r="D66" s="14"/>
    </row>
    <row r="67" spans="1:5" ht="12.75" customHeight="1" x14ac:dyDescent="0.25">
      <c r="A67" s="110" t="s">
        <v>35</v>
      </c>
      <c r="B67" s="110"/>
      <c r="C67" s="110"/>
      <c r="D67" s="19">
        <f>SUM(D63:D66)</f>
        <v>549.26619999999991</v>
      </c>
    </row>
    <row r="70" spans="1:5" x14ac:dyDescent="0.25">
      <c r="A70" s="112" t="s">
        <v>63</v>
      </c>
      <c r="B70" s="112"/>
      <c r="C70" s="112"/>
      <c r="D70" s="112"/>
    </row>
    <row r="72" spans="1:5" ht="12.75" customHeight="1" x14ac:dyDescent="0.25">
      <c r="A72" s="12">
        <v>2</v>
      </c>
      <c r="B72" s="114" t="s">
        <v>64</v>
      </c>
      <c r="C72" s="114"/>
      <c r="D72" s="12" t="s">
        <v>26</v>
      </c>
    </row>
    <row r="73" spans="1:5" ht="12.75" customHeight="1" x14ac:dyDescent="0.25">
      <c r="A73" s="8" t="s">
        <v>38</v>
      </c>
      <c r="B73" s="111" t="s">
        <v>39</v>
      </c>
      <c r="C73" s="111"/>
      <c r="D73" s="23">
        <f>D43</f>
        <v>520.1</v>
      </c>
    </row>
    <row r="74" spans="1:5" ht="12.75" customHeight="1" x14ac:dyDescent="0.25">
      <c r="A74" s="8" t="s">
        <v>43</v>
      </c>
      <c r="B74" s="111" t="s">
        <v>44</v>
      </c>
      <c r="C74" s="111"/>
      <c r="D74" s="23">
        <f>D57</f>
        <v>1175.9299999999998</v>
      </c>
    </row>
    <row r="75" spans="1:5" ht="12.75" customHeight="1" x14ac:dyDescent="0.25">
      <c r="A75" s="8" t="s">
        <v>58</v>
      </c>
      <c r="B75" s="111" t="s">
        <v>59</v>
      </c>
      <c r="C75" s="111"/>
      <c r="D75" s="23">
        <f>D67</f>
        <v>549.26619999999991</v>
      </c>
    </row>
    <row r="76" spans="1:5" ht="12.75" customHeight="1" x14ac:dyDescent="0.25">
      <c r="A76" s="110" t="s">
        <v>35</v>
      </c>
      <c r="B76" s="110"/>
      <c r="C76" s="110"/>
      <c r="D76" s="19">
        <f>SUM(D73:D75)</f>
        <v>2245.2961999999998</v>
      </c>
    </row>
    <row r="77" spans="1:5" x14ac:dyDescent="0.25">
      <c r="A77" s="24"/>
      <c r="E77" s="25"/>
    </row>
    <row r="79" spans="1:5" x14ac:dyDescent="0.25">
      <c r="A79" s="105" t="s">
        <v>65</v>
      </c>
      <c r="B79" s="105"/>
      <c r="C79" s="105"/>
      <c r="D79" s="105"/>
      <c r="E79" s="26"/>
    </row>
    <row r="80" spans="1:5" ht="12.75" customHeight="1" x14ac:dyDescent="0.25">
      <c r="E80" s="25"/>
    </row>
    <row r="81" spans="1:4" ht="12.75" customHeight="1" x14ac:dyDescent="0.25">
      <c r="A81" s="12">
        <v>3</v>
      </c>
      <c r="B81" s="114" t="s">
        <v>66</v>
      </c>
      <c r="C81" s="114"/>
      <c r="D81" s="12" t="s">
        <v>26</v>
      </c>
    </row>
    <row r="82" spans="1:4" x14ac:dyDescent="0.25">
      <c r="A82" s="8" t="s">
        <v>2</v>
      </c>
      <c r="B82" s="27" t="s">
        <v>67</v>
      </c>
      <c r="C82" s="20">
        <f>TRUNC(((1/12)*5%),4)</f>
        <v>4.1000000000000003E-3</v>
      </c>
      <c r="D82" s="14">
        <f>TRUNC($D$33*C82,2)</f>
        <v>10.96</v>
      </c>
    </row>
    <row r="83" spans="1:4" x14ac:dyDescent="0.25">
      <c r="A83" s="8" t="s">
        <v>4</v>
      </c>
      <c r="B83" s="27" t="s">
        <v>68</v>
      </c>
      <c r="C83" s="20">
        <v>0.08</v>
      </c>
      <c r="D83" s="14">
        <f>TRUNC(D82*C83,2)</f>
        <v>0.87</v>
      </c>
    </row>
    <row r="84" spans="1:4" x14ac:dyDescent="0.25">
      <c r="A84" s="8" t="s">
        <v>6</v>
      </c>
      <c r="B84" s="27" t="s">
        <v>69</v>
      </c>
      <c r="C84" s="20">
        <f>TRUNC(8%*5%*40%,4)</f>
        <v>1.6000000000000001E-3</v>
      </c>
      <c r="D84" s="14">
        <f>TRUNC($D$33*C84,2)</f>
        <v>4.28</v>
      </c>
    </row>
    <row r="85" spans="1:4" x14ac:dyDescent="0.25">
      <c r="A85" s="8" t="s">
        <v>8</v>
      </c>
      <c r="B85" s="27" t="s">
        <v>70</v>
      </c>
      <c r="C85" s="20">
        <f>TRUNC(((7/30)/12)*95%,4)</f>
        <v>1.84E-2</v>
      </c>
      <c r="D85" s="14">
        <f>TRUNC($D$33*C85,2)</f>
        <v>49.22</v>
      </c>
    </row>
    <row r="86" spans="1:4" ht="25.5" x14ac:dyDescent="0.25">
      <c r="A86" s="8" t="s">
        <v>31</v>
      </c>
      <c r="B86" s="27" t="s">
        <v>71</v>
      </c>
      <c r="C86" s="20">
        <f>C57</f>
        <v>0.36800000000000005</v>
      </c>
      <c r="D86" s="14">
        <f>TRUNC(D85*C86,2)</f>
        <v>18.11</v>
      </c>
    </row>
    <row r="87" spans="1:4" x14ac:dyDescent="0.25">
      <c r="A87" s="8" t="s">
        <v>51</v>
      </c>
      <c r="B87" s="27" t="s">
        <v>72</v>
      </c>
      <c r="C87" s="20">
        <f>TRUNC(8%*95%*40%,4)</f>
        <v>3.04E-2</v>
      </c>
      <c r="D87" s="14">
        <f>TRUNC($D$33*C87,2)</f>
        <v>81.33</v>
      </c>
    </row>
    <row r="88" spans="1:4" ht="12.75" customHeight="1" x14ac:dyDescent="0.25">
      <c r="A88" s="110" t="s">
        <v>35</v>
      </c>
      <c r="B88" s="110"/>
      <c r="C88" s="110"/>
      <c r="D88" s="19">
        <f>SUM(D82:D87)</f>
        <v>164.76999999999998</v>
      </c>
    </row>
    <row r="91" spans="1:4" x14ac:dyDescent="0.25">
      <c r="A91" s="105" t="s">
        <v>73</v>
      </c>
      <c r="B91" s="105"/>
      <c r="C91" s="105"/>
      <c r="D91" s="105"/>
    </row>
    <row r="94" spans="1:4" x14ac:dyDescent="0.25">
      <c r="A94" s="112" t="s">
        <v>74</v>
      </c>
      <c r="B94" s="112"/>
      <c r="C94" s="112"/>
      <c r="D94" s="112"/>
    </row>
    <row r="95" spans="1:4" x14ac:dyDescent="0.25">
      <c r="A95" s="16"/>
    </row>
    <row r="96" spans="1:4" ht="12.75" customHeight="1" x14ac:dyDescent="0.25">
      <c r="A96" s="12" t="s">
        <v>75</v>
      </c>
      <c r="B96" s="114" t="s">
        <v>76</v>
      </c>
      <c r="C96" s="114"/>
      <c r="D96" s="12" t="s">
        <v>26</v>
      </c>
    </row>
    <row r="97" spans="1:6" x14ac:dyDescent="0.25">
      <c r="A97" s="8" t="s">
        <v>2</v>
      </c>
      <c r="B97" s="13" t="s">
        <v>77</v>
      </c>
      <c r="C97" s="20">
        <f>TRUNC(((1+1/3)/12)/12,4)</f>
        <v>9.1999999999999998E-3</v>
      </c>
      <c r="D97" s="14">
        <f t="shared" ref="D97:D102" si="1">TRUNC(($D$33+$D$76+$D$88)*C97,2)</f>
        <v>46.78</v>
      </c>
    </row>
    <row r="98" spans="1:6" x14ac:dyDescent="0.25">
      <c r="A98" s="8" t="s">
        <v>4</v>
      </c>
      <c r="B98" s="13" t="s">
        <v>78</v>
      </c>
      <c r="C98" s="20">
        <f>TRUNC(((2/30)/12),4)</f>
        <v>5.4999999999999997E-3</v>
      </c>
      <c r="D98" s="14">
        <f t="shared" si="1"/>
        <v>27.97</v>
      </c>
    </row>
    <row r="99" spans="1:6" x14ac:dyDescent="0.25">
      <c r="A99" s="8" t="s">
        <v>6</v>
      </c>
      <c r="B99" s="13" t="s">
        <v>79</v>
      </c>
      <c r="C99" s="20">
        <f>TRUNC(((5/30)/12)*2%,4)</f>
        <v>2.0000000000000001E-4</v>
      </c>
      <c r="D99" s="14">
        <f t="shared" si="1"/>
        <v>1.01</v>
      </c>
    </row>
    <row r="100" spans="1:6" x14ac:dyDescent="0.25">
      <c r="A100" s="8" t="s">
        <v>8</v>
      </c>
      <c r="B100" s="13" t="s">
        <v>80</v>
      </c>
      <c r="C100" s="20">
        <f>TRUNC(((15/30)/12)*8%,4)</f>
        <v>3.3E-3</v>
      </c>
      <c r="D100" s="14">
        <f t="shared" si="1"/>
        <v>16.78</v>
      </c>
    </row>
    <row r="101" spans="1:6" x14ac:dyDescent="0.25">
      <c r="A101" s="8" t="s">
        <v>31</v>
      </c>
      <c r="B101" s="13" t="s">
        <v>81</v>
      </c>
      <c r="C101" s="20">
        <f>((1+1/3)/12)*3%*(4/12)</f>
        <v>1.1111111111111109E-3</v>
      </c>
      <c r="D101" s="14">
        <f t="shared" si="1"/>
        <v>5.65</v>
      </c>
    </row>
    <row r="102" spans="1:6" x14ac:dyDescent="0.25">
      <c r="A102" s="8" t="s">
        <v>51</v>
      </c>
      <c r="B102" s="13" t="s">
        <v>82</v>
      </c>
      <c r="C102" s="20"/>
      <c r="D102" s="14">
        <f t="shared" si="1"/>
        <v>0</v>
      </c>
    </row>
    <row r="103" spans="1:6" ht="12.75" customHeight="1" x14ac:dyDescent="0.25">
      <c r="A103" s="110" t="s">
        <v>56</v>
      </c>
      <c r="B103" s="110"/>
      <c r="C103" s="110"/>
      <c r="D103" s="19">
        <f>SUM(D97:D102)</f>
        <v>98.190000000000012</v>
      </c>
      <c r="E103" s="26"/>
      <c r="F103" s="26"/>
    </row>
    <row r="106" spans="1:6" x14ac:dyDescent="0.25">
      <c r="A106" s="112" t="s">
        <v>83</v>
      </c>
      <c r="B106" s="112"/>
      <c r="C106" s="112"/>
      <c r="D106" s="112"/>
    </row>
    <row r="107" spans="1:6" x14ac:dyDescent="0.25">
      <c r="A107" s="16"/>
    </row>
    <row r="108" spans="1:6" ht="12.75" customHeight="1" x14ac:dyDescent="0.25">
      <c r="A108" s="12" t="s">
        <v>84</v>
      </c>
      <c r="B108" s="114" t="s">
        <v>85</v>
      </c>
      <c r="C108" s="114"/>
      <c r="D108" s="12" t="s">
        <v>26</v>
      </c>
    </row>
    <row r="109" spans="1:6" ht="12.75" customHeight="1" x14ac:dyDescent="0.25">
      <c r="A109" s="8" t="s">
        <v>2</v>
      </c>
      <c r="B109" s="111" t="s">
        <v>86</v>
      </c>
      <c r="C109" s="111"/>
      <c r="D109" s="14">
        <f>((D33+D76+D88)/220)*22*0</f>
        <v>0</v>
      </c>
    </row>
    <row r="110" spans="1:6" ht="12.75" customHeight="1" x14ac:dyDescent="0.25">
      <c r="A110" s="110" t="s">
        <v>35</v>
      </c>
      <c r="B110" s="110"/>
      <c r="C110" s="110"/>
      <c r="D110" s="19">
        <f>SUM(D109)</f>
        <v>0</v>
      </c>
    </row>
    <row r="113" spans="1:4" x14ac:dyDescent="0.25">
      <c r="A113" s="112" t="s">
        <v>87</v>
      </c>
      <c r="B113" s="112"/>
      <c r="C113" s="112"/>
      <c r="D113" s="112"/>
    </row>
    <row r="114" spans="1:4" x14ac:dyDescent="0.25">
      <c r="A114" s="16"/>
    </row>
    <row r="115" spans="1:4" ht="12.75" customHeight="1" x14ac:dyDescent="0.25">
      <c r="A115" s="12">
        <v>4</v>
      </c>
      <c r="B115" s="110" t="s">
        <v>88</v>
      </c>
      <c r="C115" s="110"/>
      <c r="D115" s="12" t="s">
        <v>26</v>
      </c>
    </row>
    <row r="116" spans="1:4" ht="12.75" customHeight="1" x14ac:dyDescent="0.25">
      <c r="A116" s="8" t="s">
        <v>75</v>
      </c>
      <c r="B116" s="111" t="s">
        <v>76</v>
      </c>
      <c r="C116" s="111"/>
      <c r="D116" s="23">
        <f>D103</f>
        <v>98.190000000000012</v>
      </c>
    </row>
    <row r="117" spans="1:4" ht="12.75" customHeight="1" x14ac:dyDescent="0.25">
      <c r="A117" s="8" t="s">
        <v>84</v>
      </c>
      <c r="B117" s="111" t="s">
        <v>85</v>
      </c>
      <c r="C117" s="111"/>
      <c r="D117" s="23">
        <f>D110</f>
        <v>0</v>
      </c>
    </row>
    <row r="118" spans="1:4" ht="12.75" customHeight="1" x14ac:dyDescent="0.25">
      <c r="A118" s="110" t="s">
        <v>35</v>
      </c>
      <c r="B118" s="110"/>
      <c r="C118" s="110"/>
      <c r="D118" s="19">
        <f>SUM(D116:D117)</f>
        <v>98.190000000000012</v>
      </c>
    </row>
    <row r="121" spans="1:4" x14ac:dyDescent="0.25">
      <c r="A121" s="105" t="s">
        <v>89</v>
      </c>
      <c r="B121" s="105"/>
      <c r="C121" s="105"/>
      <c r="D121" s="105"/>
    </row>
    <row r="123" spans="1:4" ht="12.75" customHeight="1" x14ac:dyDescent="0.25">
      <c r="A123" s="12">
        <v>5</v>
      </c>
      <c r="B123" s="115" t="s">
        <v>90</v>
      </c>
      <c r="C123" s="115"/>
      <c r="D123" s="12" t="s">
        <v>26</v>
      </c>
    </row>
    <row r="124" spans="1:4" x14ac:dyDescent="0.25">
      <c r="A124" s="8" t="s">
        <v>2</v>
      </c>
      <c r="B124" s="13" t="s">
        <v>91</v>
      </c>
      <c r="C124" s="13"/>
      <c r="D124" s="14">
        <v>66.040000000000006</v>
      </c>
    </row>
    <row r="125" spans="1:4" x14ac:dyDescent="0.25">
      <c r="A125" s="8" t="s">
        <v>4</v>
      </c>
      <c r="B125" s="13" t="s">
        <v>92</v>
      </c>
      <c r="C125" s="13"/>
      <c r="D125" s="14">
        <v>61.36</v>
      </c>
    </row>
    <row r="126" spans="1:4" x14ac:dyDescent="0.25">
      <c r="A126" s="8" t="s">
        <v>6</v>
      </c>
      <c r="B126" s="13" t="s">
        <v>93</v>
      </c>
      <c r="C126" s="13"/>
      <c r="D126" s="14">
        <v>40.22</v>
      </c>
    </row>
    <row r="127" spans="1:4" x14ac:dyDescent="0.25">
      <c r="A127" s="8" t="s">
        <v>8</v>
      </c>
      <c r="B127" s="13" t="s">
        <v>34</v>
      </c>
      <c r="C127" s="13"/>
      <c r="D127" s="14"/>
    </row>
    <row r="128" spans="1:4" ht="12.75" customHeight="1" x14ac:dyDescent="0.25">
      <c r="A128" s="110" t="s">
        <v>56</v>
      </c>
      <c r="B128" s="110"/>
      <c r="C128" s="110"/>
      <c r="D128" s="15">
        <f>SUM(D124:D127)</f>
        <v>167.62</v>
      </c>
    </row>
    <row r="131" spans="1:4" x14ac:dyDescent="0.25">
      <c r="A131" s="105" t="s">
        <v>94</v>
      </c>
      <c r="B131" s="105"/>
      <c r="C131" s="105"/>
      <c r="D131" s="105"/>
    </row>
    <row r="133" spans="1:4" x14ac:dyDescent="0.25">
      <c r="A133" s="12">
        <v>6</v>
      </c>
      <c r="B133" s="28" t="s">
        <v>95</v>
      </c>
      <c r="C133" s="12" t="s">
        <v>45</v>
      </c>
      <c r="D133" s="12" t="s">
        <v>26</v>
      </c>
    </row>
    <row r="134" spans="1:4" x14ac:dyDescent="0.25">
      <c r="A134" s="8" t="s">
        <v>2</v>
      </c>
      <c r="B134" s="13" t="s">
        <v>96</v>
      </c>
      <c r="C134" s="20">
        <v>0.05</v>
      </c>
      <c r="D134" s="23">
        <f>D154*C134</f>
        <v>267.56860999999998</v>
      </c>
    </row>
    <row r="135" spans="1:4" x14ac:dyDescent="0.25">
      <c r="A135" s="8" t="s">
        <v>4</v>
      </c>
      <c r="B135" s="13" t="s">
        <v>97</v>
      </c>
      <c r="C135" s="20">
        <v>0.06</v>
      </c>
      <c r="D135" s="14">
        <f>(D154+D134)*C135</f>
        <v>337.13644859999999</v>
      </c>
    </row>
    <row r="136" spans="1:4" x14ac:dyDescent="0.25">
      <c r="A136" s="8" t="s">
        <v>6</v>
      </c>
      <c r="B136" s="13" t="s">
        <v>98</v>
      </c>
      <c r="C136" s="17">
        <f>SUM(C137:C142)</f>
        <v>8.6499999999999994E-2</v>
      </c>
      <c r="D136" s="14">
        <f>(D154+D134+D135)*C136/(1-C136)</f>
        <v>563.9854218597701</v>
      </c>
    </row>
    <row r="137" spans="1:4" x14ac:dyDescent="0.25">
      <c r="A137" s="8"/>
      <c r="B137" s="13" t="s">
        <v>99</v>
      </c>
      <c r="C137" s="20"/>
      <c r="D137" s="23">
        <f t="shared" ref="D137:D142" si="2">$D$156*C137</f>
        <v>0</v>
      </c>
    </row>
    <row r="138" spans="1:4" x14ac:dyDescent="0.25">
      <c r="A138" s="8"/>
      <c r="B138" s="13" t="s">
        <v>100</v>
      </c>
      <c r="C138" s="20">
        <v>6.4999999999999997E-3</v>
      </c>
      <c r="D138" s="23">
        <f t="shared" si="2"/>
        <v>42.380407422988505</v>
      </c>
    </row>
    <row r="139" spans="1:4" x14ac:dyDescent="0.25">
      <c r="A139" s="8"/>
      <c r="B139" s="13" t="s">
        <v>101</v>
      </c>
      <c r="C139" s="20">
        <v>0.03</v>
      </c>
      <c r="D139" s="23">
        <f t="shared" si="2"/>
        <v>195.60188041379311</v>
      </c>
    </row>
    <row r="140" spans="1:4" x14ac:dyDescent="0.25">
      <c r="A140" s="8"/>
      <c r="B140" s="13" t="s">
        <v>102</v>
      </c>
      <c r="C140" s="65"/>
      <c r="D140" s="23">
        <f t="shared" si="2"/>
        <v>0</v>
      </c>
    </row>
    <row r="141" spans="1:4" x14ac:dyDescent="0.25">
      <c r="A141" s="8"/>
      <c r="B141" s="13" t="s">
        <v>103</v>
      </c>
      <c r="C141" s="20"/>
      <c r="D141" s="23">
        <f t="shared" si="2"/>
        <v>0</v>
      </c>
    </row>
    <row r="142" spans="1:4" x14ac:dyDescent="0.25">
      <c r="A142" s="8"/>
      <c r="B142" s="13" t="s">
        <v>104</v>
      </c>
      <c r="C142" s="20">
        <v>0.05</v>
      </c>
      <c r="D142" s="23">
        <f t="shared" si="2"/>
        <v>326.00313402298855</v>
      </c>
    </row>
    <row r="143" spans="1:4" ht="13.5" customHeight="1" x14ac:dyDescent="0.25">
      <c r="A143" s="116" t="s">
        <v>56</v>
      </c>
      <c r="B143" s="116"/>
      <c r="C143" s="29">
        <f>ROUND((1+C135)*(1+C134)/(1-C136)-1,4)</f>
        <v>0.21840000000000001</v>
      </c>
      <c r="D143" s="19">
        <f>SUM(D134:D136)</f>
        <v>1168.6904804597702</v>
      </c>
    </row>
    <row r="146" spans="1:4" x14ac:dyDescent="0.25">
      <c r="A146" s="105" t="s">
        <v>105</v>
      </c>
      <c r="B146" s="105"/>
      <c r="C146" s="105"/>
      <c r="D146" s="105"/>
    </row>
    <row r="148" spans="1:4" ht="12.75" customHeight="1" x14ac:dyDescent="0.25">
      <c r="A148" s="12"/>
      <c r="B148" s="110" t="s">
        <v>106</v>
      </c>
      <c r="C148" s="110"/>
      <c r="D148" s="12" t="s">
        <v>26</v>
      </c>
    </row>
    <row r="149" spans="1:4" ht="12.75" customHeight="1" x14ac:dyDescent="0.25">
      <c r="A149" s="12" t="s">
        <v>2</v>
      </c>
      <c r="B149" s="111" t="s">
        <v>24</v>
      </c>
      <c r="C149" s="111"/>
      <c r="D149" s="30">
        <f>D33</f>
        <v>2675.4960000000001</v>
      </c>
    </row>
    <row r="150" spans="1:4" ht="12.75" customHeight="1" x14ac:dyDescent="0.25">
      <c r="A150" s="12" t="s">
        <v>4</v>
      </c>
      <c r="B150" s="111" t="s">
        <v>36</v>
      </c>
      <c r="C150" s="111"/>
      <c r="D150" s="30">
        <f>D76</f>
        <v>2245.2961999999998</v>
      </c>
    </row>
    <row r="151" spans="1:4" ht="12.75" customHeight="1" x14ac:dyDescent="0.25">
      <c r="A151" s="12" t="s">
        <v>6</v>
      </c>
      <c r="B151" s="111" t="s">
        <v>65</v>
      </c>
      <c r="C151" s="111"/>
      <c r="D151" s="30">
        <f>D88</f>
        <v>164.76999999999998</v>
      </c>
    </row>
    <row r="152" spans="1:4" ht="12.75" customHeight="1" x14ac:dyDescent="0.25">
      <c r="A152" s="12" t="s">
        <v>8</v>
      </c>
      <c r="B152" s="111" t="s">
        <v>73</v>
      </c>
      <c r="C152" s="111"/>
      <c r="D152" s="30">
        <f>D118</f>
        <v>98.190000000000012</v>
      </c>
    </row>
    <row r="153" spans="1:4" ht="12.75" customHeight="1" x14ac:dyDescent="0.25">
      <c r="A153" s="12" t="s">
        <v>31</v>
      </c>
      <c r="B153" s="111" t="s">
        <v>89</v>
      </c>
      <c r="C153" s="111"/>
      <c r="D153" s="30">
        <f>D128</f>
        <v>167.62</v>
      </c>
    </row>
    <row r="154" spans="1:4" ht="12.75" customHeight="1" x14ac:dyDescent="0.25">
      <c r="A154" s="110" t="s">
        <v>107</v>
      </c>
      <c r="B154" s="110"/>
      <c r="C154" s="110"/>
      <c r="D154" s="31">
        <f>SUM(D149:D153)</f>
        <v>5351.3721999999998</v>
      </c>
    </row>
    <row r="155" spans="1:4" ht="12.75" customHeight="1" x14ac:dyDescent="0.25">
      <c r="A155" s="12" t="s">
        <v>51</v>
      </c>
      <c r="B155" s="111" t="s">
        <v>108</v>
      </c>
      <c r="C155" s="111"/>
      <c r="D155" s="32">
        <f>D143</f>
        <v>1168.6904804597702</v>
      </c>
    </row>
    <row r="156" spans="1:4" ht="12.75" customHeight="1" x14ac:dyDescent="0.25">
      <c r="A156" s="110" t="s">
        <v>109</v>
      </c>
      <c r="B156" s="110"/>
      <c r="C156" s="110"/>
      <c r="D156" s="31">
        <f>SUM(D154:D155)</f>
        <v>6520.0626804597705</v>
      </c>
    </row>
  </sheetData>
  <mergeCells count="71">
    <mergeCell ref="A156:C156"/>
    <mergeCell ref="B151:C151"/>
    <mergeCell ref="B152:C152"/>
    <mergeCell ref="B153:C153"/>
    <mergeCell ref="A154:C154"/>
    <mergeCell ref="B155:C155"/>
    <mergeCell ref="A143:B143"/>
    <mergeCell ref="A146:D146"/>
    <mergeCell ref="B148:C148"/>
    <mergeCell ref="B149:C149"/>
    <mergeCell ref="B150:C150"/>
    <mergeCell ref="A118:C118"/>
    <mergeCell ref="A121:D121"/>
    <mergeCell ref="B123:C123"/>
    <mergeCell ref="A128:C128"/>
    <mergeCell ref="A131:D131"/>
    <mergeCell ref="A110:C110"/>
    <mergeCell ref="A113:D113"/>
    <mergeCell ref="B115:C115"/>
    <mergeCell ref="B116:C116"/>
    <mergeCell ref="B117:C117"/>
    <mergeCell ref="B96:C96"/>
    <mergeCell ref="A103:C103"/>
    <mergeCell ref="A106:D106"/>
    <mergeCell ref="B108:C108"/>
    <mergeCell ref="B109:C109"/>
    <mergeCell ref="A79:D79"/>
    <mergeCell ref="B81:C81"/>
    <mergeCell ref="A88:C88"/>
    <mergeCell ref="A91:D91"/>
    <mergeCell ref="A94:D94"/>
    <mergeCell ref="B72:C72"/>
    <mergeCell ref="B73:C73"/>
    <mergeCell ref="B74:C74"/>
    <mergeCell ref="B75:C75"/>
    <mergeCell ref="A76:C76"/>
    <mergeCell ref="B64:C64"/>
    <mergeCell ref="B65:C65"/>
    <mergeCell ref="B66:C66"/>
    <mergeCell ref="A67:C67"/>
    <mergeCell ref="A70:D70"/>
    <mergeCell ref="A46:D46"/>
    <mergeCell ref="A57:B57"/>
    <mergeCell ref="A60:D60"/>
    <mergeCell ref="B62:C62"/>
    <mergeCell ref="B63:C63"/>
    <mergeCell ref="A33:C33"/>
    <mergeCell ref="A36:D36"/>
    <mergeCell ref="A38:D38"/>
    <mergeCell ref="B40:C40"/>
    <mergeCell ref="A43:B43"/>
    <mergeCell ref="B28:C28"/>
    <mergeCell ref="B29:C29"/>
    <mergeCell ref="B30:C30"/>
    <mergeCell ref="B31:C31"/>
    <mergeCell ref="B32:C32"/>
    <mergeCell ref="C21:D21"/>
    <mergeCell ref="A23:D23"/>
    <mergeCell ref="B25:C25"/>
    <mergeCell ref="B26:C26"/>
    <mergeCell ref="B27:C27"/>
    <mergeCell ref="A15:D15"/>
    <mergeCell ref="C17:D17"/>
    <mergeCell ref="C18:D18"/>
    <mergeCell ref="C19:D19"/>
    <mergeCell ref="C20:D20"/>
    <mergeCell ref="A1:D1"/>
    <mergeCell ref="A3:D3"/>
    <mergeCell ref="A10:D10"/>
    <mergeCell ref="A12:B12"/>
    <mergeCell ref="A13:B13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6"/>
  <sheetViews>
    <sheetView topLeftCell="A49" zoomScale="115" zoomScaleNormal="115" workbookViewId="0">
      <selection activeCell="D127" sqref="D127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104" t="s">
        <v>0</v>
      </c>
      <c r="B1" s="104"/>
      <c r="C1" s="104"/>
      <c r="D1" s="104"/>
    </row>
    <row r="2" spans="1:4" ht="15.75" x14ac:dyDescent="0.25">
      <c r="A2" s="2"/>
      <c r="B2" s="2"/>
      <c r="C2" s="2"/>
      <c r="D2" s="2"/>
    </row>
    <row r="3" spans="1:4" x14ac:dyDescent="0.25">
      <c r="A3" s="105" t="s">
        <v>1</v>
      </c>
      <c r="B3" s="105"/>
      <c r="C3" s="105"/>
      <c r="D3" s="105"/>
    </row>
    <row r="4" spans="1:4" x14ac:dyDescent="0.25">
      <c r="A4" s="3"/>
      <c r="B4" s="3"/>
      <c r="C4" s="3"/>
      <c r="D4" s="3"/>
    </row>
    <row r="5" spans="1:4" x14ac:dyDescent="0.25">
      <c r="A5" s="4" t="s">
        <v>2</v>
      </c>
      <c r="B5" s="5" t="s">
        <v>3</v>
      </c>
      <c r="C5" s="6"/>
      <c r="D5" s="7"/>
    </row>
    <row r="6" spans="1:4" x14ac:dyDescent="0.25">
      <c r="A6" s="4" t="s">
        <v>4</v>
      </c>
      <c r="B6" s="5" t="s">
        <v>5</v>
      </c>
      <c r="C6" s="6"/>
      <c r="D6" s="7"/>
    </row>
    <row r="7" spans="1:4" x14ac:dyDescent="0.25">
      <c r="A7" s="4" t="s">
        <v>6</v>
      </c>
      <c r="B7" s="5" t="s">
        <v>7</v>
      </c>
      <c r="C7" s="6"/>
      <c r="D7" s="7"/>
    </row>
    <row r="8" spans="1:4" x14ac:dyDescent="0.25">
      <c r="A8" s="4" t="s">
        <v>8</v>
      </c>
      <c r="B8" s="5" t="s">
        <v>9</v>
      </c>
      <c r="C8" s="6"/>
      <c r="D8" s="7">
        <v>24</v>
      </c>
    </row>
    <row r="10" spans="1:4" x14ac:dyDescent="0.25">
      <c r="A10" s="105" t="s">
        <v>10</v>
      </c>
      <c r="B10" s="105"/>
      <c r="C10" s="105"/>
      <c r="D10" s="105"/>
    </row>
    <row r="11" spans="1:4" x14ac:dyDescent="0.25">
      <c r="A11" s="3"/>
      <c r="B11" s="3"/>
      <c r="C11" s="3"/>
      <c r="D11" s="3"/>
    </row>
    <row r="12" spans="1:4" ht="38.25" customHeight="1" x14ac:dyDescent="0.25">
      <c r="A12" s="106" t="s">
        <v>11</v>
      </c>
      <c r="B12" s="106"/>
      <c r="C12" s="8" t="s">
        <v>12</v>
      </c>
      <c r="D12" s="9" t="s">
        <v>13</v>
      </c>
    </row>
    <row r="13" spans="1:4" s="11" customFormat="1" ht="12.75" x14ac:dyDescent="0.2">
      <c r="A13" s="107" t="s">
        <v>136</v>
      </c>
      <c r="B13" s="107"/>
      <c r="C13" s="10" t="s">
        <v>15</v>
      </c>
      <c r="D13" s="10">
        <v>1</v>
      </c>
    </row>
    <row r="15" spans="1:4" x14ac:dyDescent="0.25">
      <c r="A15" s="105" t="s">
        <v>16</v>
      </c>
      <c r="B15" s="105"/>
      <c r="C15" s="105"/>
      <c r="D15" s="105"/>
    </row>
    <row r="16" spans="1:4" x14ac:dyDescent="0.25">
      <c r="A16" s="3"/>
      <c r="B16" s="3"/>
      <c r="C16" s="3"/>
      <c r="D16" s="3"/>
    </row>
    <row r="17" spans="1:4" x14ac:dyDescent="0.25">
      <c r="A17" s="4">
        <v>1</v>
      </c>
      <c r="B17" s="4" t="s">
        <v>17</v>
      </c>
      <c r="C17" s="108" t="s">
        <v>137</v>
      </c>
      <c r="D17" s="108"/>
    </row>
    <row r="18" spans="1:4" x14ac:dyDescent="0.25">
      <c r="A18" s="4">
        <v>2</v>
      </c>
      <c r="B18" s="4" t="s">
        <v>19</v>
      </c>
      <c r="C18" s="108" t="s">
        <v>138</v>
      </c>
      <c r="D18" s="108"/>
    </row>
    <row r="19" spans="1:4" x14ac:dyDescent="0.25">
      <c r="A19" s="4">
        <v>3</v>
      </c>
      <c r="B19" s="4" t="s">
        <v>21</v>
      </c>
      <c r="C19" s="108"/>
      <c r="D19" s="108"/>
    </row>
    <row r="20" spans="1:4" x14ac:dyDescent="0.25">
      <c r="A20" s="4">
        <v>4</v>
      </c>
      <c r="B20" s="4" t="s">
        <v>22</v>
      </c>
      <c r="C20" s="108"/>
      <c r="D20" s="108"/>
    </row>
    <row r="21" spans="1:4" x14ac:dyDescent="0.25">
      <c r="A21" s="4">
        <v>5</v>
      </c>
      <c r="B21" s="4" t="s">
        <v>23</v>
      </c>
      <c r="C21" s="108"/>
      <c r="D21" s="108"/>
    </row>
    <row r="23" spans="1:4" x14ac:dyDescent="0.25">
      <c r="A23" s="105" t="s">
        <v>24</v>
      </c>
      <c r="B23" s="105"/>
      <c r="C23" s="105"/>
      <c r="D23" s="105"/>
    </row>
    <row r="25" spans="1:4" ht="12.75" customHeight="1" x14ac:dyDescent="0.25">
      <c r="A25" s="12">
        <v>1</v>
      </c>
      <c r="B25" s="110" t="s">
        <v>25</v>
      </c>
      <c r="C25" s="110"/>
      <c r="D25" s="12" t="s">
        <v>26</v>
      </c>
    </row>
    <row r="26" spans="1:4" ht="12.75" customHeight="1" x14ac:dyDescent="0.25">
      <c r="A26" s="8" t="s">
        <v>2</v>
      </c>
      <c r="B26" s="111" t="s">
        <v>27</v>
      </c>
      <c r="C26" s="111"/>
      <c r="D26" s="14">
        <v>2893.79</v>
      </c>
    </row>
    <row r="27" spans="1:4" ht="12.75" customHeight="1" x14ac:dyDescent="0.25">
      <c r="A27" s="8" t="s">
        <v>4</v>
      </c>
      <c r="B27" s="111" t="s">
        <v>28</v>
      </c>
      <c r="C27" s="111"/>
      <c r="D27" s="14"/>
    </row>
    <row r="28" spans="1:4" ht="12.75" customHeight="1" x14ac:dyDescent="0.25">
      <c r="A28" s="8" t="s">
        <v>6</v>
      </c>
      <c r="B28" s="111" t="s">
        <v>29</v>
      </c>
      <c r="C28" s="111"/>
      <c r="D28" s="14">
        <f>D26*0.2</f>
        <v>578.75800000000004</v>
      </c>
    </row>
    <row r="29" spans="1:4" ht="12.75" customHeight="1" x14ac:dyDescent="0.25">
      <c r="A29" s="8" t="s">
        <v>8</v>
      </c>
      <c r="B29" s="111" t="s">
        <v>30</v>
      </c>
      <c r="C29" s="111"/>
      <c r="D29" s="14"/>
    </row>
    <row r="30" spans="1:4" ht="12.75" customHeight="1" x14ac:dyDescent="0.25">
      <c r="A30" s="8" t="s">
        <v>31</v>
      </c>
      <c r="B30" s="111" t="s">
        <v>32</v>
      </c>
      <c r="C30" s="111"/>
      <c r="D30" s="14"/>
    </row>
    <row r="31" spans="1:4" x14ac:dyDescent="0.25">
      <c r="A31" s="8"/>
      <c r="B31" s="111"/>
      <c r="C31" s="111"/>
      <c r="D31" s="14"/>
    </row>
    <row r="32" spans="1:4" ht="12.75" customHeight="1" x14ac:dyDescent="0.25">
      <c r="A32" s="8" t="s">
        <v>33</v>
      </c>
      <c r="B32" s="111" t="s">
        <v>34</v>
      </c>
      <c r="C32" s="111"/>
      <c r="D32" s="14"/>
    </row>
    <row r="33" spans="1:4" ht="12.75" customHeight="1" x14ac:dyDescent="0.25">
      <c r="A33" s="110" t="s">
        <v>35</v>
      </c>
      <c r="B33" s="110"/>
      <c r="C33" s="110"/>
      <c r="D33" s="15">
        <f>SUM(D26:D32)</f>
        <v>3472.5479999999998</v>
      </c>
    </row>
    <row r="36" spans="1:4" x14ac:dyDescent="0.25">
      <c r="A36" s="105" t="s">
        <v>36</v>
      </c>
      <c r="B36" s="105"/>
      <c r="C36" s="105"/>
      <c r="D36" s="105"/>
    </row>
    <row r="37" spans="1:4" x14ac:dyDescent="0.25">
      <c r="A37" s="16"/>
    </row>
    <row r="38" spans="1:4" x14ac:dyDescent="0.25">
      <c r="A38" s="112" t="s">
        <v>37</v>
      </c>
      <c r="B38" s="112"/>
      <c r="C38" s="112"/>
      <c r="D38" s="112"/>
    </row>
    <row r="40" spans="1:4" ht="12.75" customHeight="1" x14ac:dyDescent="0.25">
      <c r="A40" s="12" t="s">
        <v>38</v>
      </c>
      <c r="B40" s="110" t="s">
        <v>39</v>
      </c>
      <c r="C40" s="110"/>
      <c r="D40" s="12" t="s">
        <v>26</v>
      </c>
    </row>
    <row r="41" spans="1:4" x14ac:dyDescent="0.25">
      <c r="A41" s="8" t="s">
        <v>2</v>
      </c>
      <c r="B41" s="13" t="s">
        <v>40</v>
      </c>
      <c r="C41" s="17">
        <f>TRUNC(1/12,4)</f>
        <v>8.3299999999999999E-2</v>
      </c>
      <c r="D41" s="14">
        <f>TRUNC($D$33*C41,2)</f>
        <v>289.26</v>
      </c>
    </row>
    <row r="42" spans="1:4" x14ac:dyDescent="0.25">
      <c r="A42" s="8" t="s">
        <v>4</v>
      </c>
      <c r="B42" s="13" t="s">
        <v>41</v>
      </c>
      <c r="C42" s="17">
        <f>TRUNC(((1+1/3)/12),4)</f>
        <v>0.1111</v>
      </c>
      <c r="D42" s="14">
        <f>TRUNC($D$33*C42,2)</f>
        <v>385.8</v>
      </c>
    </row>
    <row r="43" spans="1:4" ht="12.75" customHeight="1" x14ac:dyDescent="0.25">
      <c r="A43" s="110" t="s">
        <v>35</v>
      </c>
      <c r="B43" s="110"/>
      <c r="C43" s="18">
        <f>SUM(C41:C42)</f>
        <v>0.19440000000000002</v>
      </c>
      <c r="D43" s="19">
        <f>SUM(D41:D42)</f>
        <v>675.06</v>
      </c>
    </row>
    <row r="46" spans="1:4" ht="12.75" customHeight="1" x14ac:dyDescent="0.25">
      <c r="A46" s="113" t="s">
        <v>42</v>
      </c>
      <c r="B46" s="113"/>
      <c r="C46" s="113"/>
      <c r="D46" s="113"/>
    </row>
    <row r="48" spans="1:4" x14ac:dyDescent="0.25">
      <c r="A48" s="12" t="s">
        <v>43</v>
      </c>
      <c r="B48" s="12" t="s">
        <v>44</v>
      </c>
      <c r="C48" s="12" t="s">
        <v>45</v>
      </c>
      <c r="D48" s="12" t="s">
        <v>26</v>
      </c>
    </row>
    <row r="49" spans="1:4" x14ac:dyDescent="0.25">
      <c r="A49" s="8" t="s">
        <v>2</v>
      </c>
      <c r="B49" s="13" t="s">
        <v>46</v>
      </c>
      <c r="C49" s="20">
        <v>0.2</v>
      </c>
      <c r="D49" s="14">
        <f t="shared" ref="D49:D56" si="0">TRUNC(($D$33+$D$43)*C49,2)</f>
        <v>829.52</v>
      </c>
    </row>
    <row r="50" spans="1:4" x14ac:dyDescent="0.25">
      <c r="A50" s="8" t="s">
        <v>4</v>
      </c>
      <c r="B50" s="13" t="s">
        <v>47</v>
      </c>
      <c r="C50" s="20">
        <v>2.5000000000000001E-2</v>
      </c>
      <c r="D50" s="14">
        <f t="shared" si="0"/>
        <v>103.69</v>
      </c>
    </row>
    <row r="51" spans="1:4" x14ac:dyDescent="0.25">
      <c r="A51" s="8" t="s">
        <v>6</v>
      </c>
      <c r="B51" s="13" t="s">
        <v>48</v>
      </c>
      <c r="C51" s="21">
        <v>0.03</v>
      </c>
      <c r="D51" s="14">
        <f t="shared" si="0"/>
        <v>124.42</v>
      </c>
    </row>
    <row r="52" spans="1:4" x14ac:dyDescent="0.25">
      <c r="A52" s="8" t="s">
        <v>8</v>
      </c>
      <c r="B52" s="13" t="s">
        <v>49</v>
      </c>
      <c r="C52" s="20">
        <v>1.4999999999999999E-2</v>
      </c>
      <c r="D52" s="14">
        <f t="shared" si="0"/>
        <v>62.21</v>
      </c>
    </row>
    <row r="53" spans="1:4" x14ac:dyDescent="0.25">
      <c r="A53" s="8" t="s">
        <v>31</v>
      </c>
      <c r="B53" s="13" t="s">
        <v>50</v>
      </c>
      <c r="C53" s="20">
        <v>0.01</v>
      </c>
      <c r="D53" s="14">
        <f t="shared" si="0"/>
        <v>41.47</v>
      </c>
    </row>
    <row r="54" spans="1:4" x14ac:dyDescent="0.25">
      <c r="A54" s="8" t="s">
        <v>51</v>
      </c>
      <c r="B54" s="13" t="s">
        <v>52</v>
      </c>
      <c r="C54" s="20">
        <v>6.0000000000000001E-3</v>
      </c>
      <c r="D54" s="14">
        <f t="shared" si="0"/>
        <v>24.88</v>
      </c>
    </row>
    <row r="55" spans="1:4" x14ac:dyDescent="0.25">
      <c r="A55" s="8" t="s">
        <v>33</v>
      </c>
      <c r="B55" s="13" t="s">
        <v>53</v>
      </c>
      <c r="C55" s="20">
        <v>2E-3</v>
      </c>
      <c r="D55" s="14">
        <f t="shared" si="0"/>
        <v>8.2899999999999991</v>
      </c>
    </row>
    <row r="56" spans="1:4" x14ac:dyDescent="0.25">
      <c r="A56" s="8" t="s">
        <v>54</v>
      </c>
      <c r="B56" s="13" t="s">
        <v>55</v>
      </c>
      <c r="C56" s="20">
        <v>0.08</v>
      </c>
      <c r="D56" s="14">
        <f t="shared" si="0"/>
        <v>331.8</v>
      </c>
    </row>
    <row r="57" spans="1:4" ht="12.75" customHeight="1" x14ac:dyDescent="0.25">
      <c r="A57" s="110" t="s">
        <v>56</v>
      </c>
      <c r="B57" s="110"/>
      <c r="C57" s="22">
        <f>SUM(C49:C56)</f>
        <v>0.36800000000000005</v>
      </c>
      <c r="D57" s="19">
        <f>SUM(D49:D56)</f>
        <v>1526.2800000000002</v>
      </c>
    </row>
    <row r="60" spans="1:4" x14ac:dyDescent="0.25">
      <c r="A60" s="112" t="s">
        <v>57</v>
      </c>
      <c r="B60" s="112"/>
      <c r="C60" s="112"/>
      <c r="D60" s="112"/>
    </row>
    <row r="62" spans="1:4" ht="12.75" customHeight="1" x14ac:dyDescent="0.25">
      <c r="A62" s="12" t="s">
        <v>58</v>
      </c>
      <c r="B62" s="114" t="s">
        <v>59</v>
      </c>
      <c r="C62" s="114"/>
      <c r="D62" s="12" t="s">
        <v>26</v>
      </c>
    </row>
    <row r="63" spans="1:4" ht="12.75" customHeight="1" x14ac:dyDescent="0.25">
      <c r="A63" s="8" t="s">
        <v>2</v>
      </c>
      <c r="B63" s="111" t="s">
        <v>60</v>
      </c>
      <c r="C63" s="111"/>
      <c r="D63" s="14">
        <f>IF((26*2*4.9)&gt;(D26*0.06),(26*2*4.9)-(D26*0.06),0)</f>
        <v>81.172600000000017</v>
      </c>
    </row>
    <row r="64" spans="1:4" ht="12.75" customHeight="1" x14ac:dyDescent="0.25">
      <c r="A64" s="8" t="s">
        <v>4</v>
      </c>
      <c r="B64" s="111" t="s">
        <v>61</v>
      </c>
      <c r="C64" s="111"/>
      <c r="D64" s="14"/>
    </row>
    <row r="65" spans="1:5" ht="12.75" customHeight="1" x14ac:dyDescent="0.25">
      <c r="A65" s="8" t="s">
        <v>6</v>
      </c>
      <c r="B65" s="111" t="s">
        <v>62</v>
      </c>
      <c r="C65" s="111"/>
      <c r="D65" s="14"/>
    </row>
    <row r="66" spans="1:5" ht="12.75" customHeight="1" x14ac:dyDescent="0.25">
      <c r="A66" s="8" t="s">
        <v>8</v>
      </c>
      <c r="B66" s="111" t="s">
        <v>34</v>
      </c>
      <c r="C66" s="111"/>
      <c r="D66" s="14"/>
    </row>
    <row r="67" spans="1:5" ht="12.75" customHeight="1" x14ac:dyDescent="0.25">
      <c r="A67" s="110" t="s">
        <v>35</v>
      </c>
      <c r="B67" s="110"/>
      <c r="C67" s="110"/>
      <c r="D67" s="19">
        <f>SUM(D63:D66)</f>
        <v>81.172600000000017</v>
      </c>
    </row>
    <row r="70" spans="1:5" x14ac:dyDescent="0.25">
      <c r="A70" s="112" t="s">
        <v>63</v>
      </c>
      <c r="B70" s="112"/>
      <c r="C70" s="112"/>
      <c r="D70" s="112"/>
    </row>
    <row r="72" spans="1:5" ht="12.75" customHeight="1" x14ac:dyDescent="0.25">
      <c r="A72" s="12">
        <v>2</v>
      </c>
      <c r="B72" s="114" t="s">
        <v>64</v>
      </c>
      <c r="C72" s="114"/>
      <c r="D72" s="12" t="s">
        <v>26</v>
      </c>
    </row>
    <row r="73" spans="1:5" ht="12.75" customHeight="1" x14ac:dyDescent="0.25">
      <c r="A73" s="8" t="s">
        <v>38</v>
      </c>
      <c r="B73" s="111" t="s">
        <v>39</v>
      </c>
      <c r="C73" s="111"/>
      <c r="D73" s="23">
        <f>D43</f>
        <v>675.06</v>
      </c>
    </row>
    <row r="74" spans="1:5" ht="12.75" customHeight="1" x14ac:dyDescent="0.25">
      <c r="A74" s="8" t="s">
        <v>43</v>
      </c>
      <c r="B74" s="111" t="s">
        <v>44</v>
      </c>
      <c r="C74" s="111"/>
      <c r="D74" s="23">
        <f>D57</f>
        <v>1526.2800000000002</v>
      </c>
    </row>
    <row r="75" spans="1:5" ht="12.75" customHeight="1" x14ac:dyDescent="0.25">
      <c r="A75" s="8" t="s">
        <v>58</v>
      </c>
      <c r="B75" s="111" t="s">
        <v>59</v>
      </c>
      <c r="C75" s="111"/>
      <c r="D75" s="23">
        <f>D67</f>
        <v>81.172600000000017</v>
      </c>
    </row>
    <row r="76" spans="1:5" ht="12.75" customHeight="1" x14ac:dyDescent="0.25">
      <c r="A76" s="110" t="s">
        <v>35</v>
      </c>
      <c r="B76" s="110"/>
      <c r="C76" s="110"/>
      <c r="D76" s="19">
        <f>SUM(D73:D75)</f>
        <v>2282.5126</v>
      </c>
    </row>
    <row r="77" spans="1:5" x14ac:dyDescent="0.25">
      <c r="A77" s="24"/>
      <c r="E77" s="25"/>
    </row>
    <row r="79" spans="1:5" x14ac:dyDescent="0.25">
      <c r="A79" s="105" t="s">
        <v>65</v>
      </c>
      <c r="B79" s="105"/>
      <c r="C79" s="105"/>
      <c r="D79" s="105"/>
      <c r="E79" s="26"/>
    </row>
    <row r="80" spans="1:5" ht="12.75" customHeight="1" x14ac:dyDescent="0.25">
      <c r="E80" s="25"/>
    </row>
    <row r="81" spans="1:4" ht="12.75" customHeight="1" x14ac:dyDescent="0.25">
      <c r="A81" s="12">
        <v>3</v>
      </c>
      <c r="B81" s="114" t="s">
        <v>66</v>
      </c>
      <c r="C81" s="114"/>
      <c r="D81" s="12" t="s">
        <v>26</v>
      </c>
    </row>
    <row r="82" spans="1:4" x14ac:dyDescent="0.25">
      <c r="A82" s="8" t="s">
        <v>2</v>
      </c>
      <c r="B82" s="27" t="s">
        <v>67</v>
      </c>
      <c r="C82" s="20">
        <f>TRUNC(((1/12)*5%),4)</f>
        <v>4.1000000000000003E-3</v>
      </c>
      <c r="D82" s="14">
        <f>TRUNC($D$33*C82,2)</f>
        <v>14.23</v>
      </c>
    </row>
    <row r="83" spans="1:4" x14ac:dyDescent="0.25">
      <c r="A83" s="8" t="s">
        <v>4</v>
      </c>
      <c r="B83" s="27" t="s">
        <v>68</v>
      </c>
      <c r="C83" s="20">
        <v>0.08</v>
      </c>
      <c r="D83" s="14">
        <f>TRUNC(D82*C83,2)</f>
        <v>1.1299999999999999</v>
      </c>
    </row>
    <row r="84" spans="1:4" x14ac:dyDescent="0.25">
      <c r="A84" s="8" t="s">
        <v>6</v>
      </c>
      <c r="B84" s="27" t="s">
        <v>69</v>
      </c>
      <c r="C84" s="20">
        <f>TRUNC(8%*5%*40%,4)</f>
        <v>1.6000000000000001E-3</v>
      </c>
      <c r="D84" s="14">
        <f>TRUNC($D$33*C84,2)</f>
        <v>5.55</v>
      </c>
    </row>
    <row r="85" spans="1:4" x14ac:dyDescent="0.25">
      <c r="A85" s="8" t="s">
        <v>8</v>
      </c>
      <c r="B85" s="27" t="s">
        <v>70</v>
      </c>
      <c r="C85" s="20">
        <f>TRUNC(((7/30)/12)*95%,4)</f>
        <v>1.84E-2</v>
      </c>
      <c r="D85" s="14">
        <f>TRUNC($D$33*C85,2)</f>
        <v>63.89</v>
      </c>
    </row>
    <row r="86" spans="1:4" ht="25.5" x14ac:dyDescent="0.25">
      <c r="A86" s="8" t="s">
        <v>31</v>
      </c>
      <c r="B86" s="27" t="s">
        <v>71</v>
      </c>
      <c r="C86" s="20">
        <f>C57</f>
        <v>0.36800000000000005</v>
      </c>
      <c r="D86" s="14">
        <f>TRUNC(D85*C86,2)</f>
        <v>23.51</v>
      </c>
    </row>
    <row r="87" spans="1:4" x14ac:dyDescent="0.25">
      <c r="A87" s="8" t="s">
        <v>51</v>
      </c>
      <c r="B87" s="27" t="s">
        <v>72</v>
      </c>
      <c r="C87" s="20">
        <f>TRUNC(8%*95%*40%,4)</f>
        <v>3.04E-2</v>
      </c>
      <c r="D87" s="14">
        <f>TRUNC($D$33*C87,2)</f>
        <v>105.56</v>
      </c>
    </row>
    <row r="88" spans="1:4" ht="12.75" customHeight="1" x14ac:dyDescent="0.25">
      <c r="A88" s="110" t="s">
        <v>35</v>
      </c>
      <c r="B88" s="110"/>
      <c r="C88" s="110"/>
      <c r="D88" s="19">
        <f>SUM(D82:D87)</f>
        <v>213.87</v>
      </c>
    </row>
    <row r="91" spans="1:4" x14ac:dyDescent="0.25">
      <c r="A91" s="105" t="s">
        <v>73</v>
      </c>
      <c r="B91" s="105"/>
      <c r="C91" s="105"/>
      <c r="D91" s="105"/>
    </row>
    <row r="94" spans="1:4" x14ac:dyDescent="0.25">
      <c r="A94" s="112" t="s">
        <v>74</v>
      </c>
      <c r="B94" s="112"/>
      <c r="C94" s="112"/>
      <c r="D94" s="112"/>
    </row>
    <row r="95" spans="1:4" x14ac:dyDescent="0.25">
      <c r="A95" s="16"/>
    </row>
    <row r="96" spans="1:4" ht="12.75" customHeight="1" x14ac:dyDescent="0.25">
      <c r="A96" s="12" t="s">
        <v>75</v>
      </c>
      <c r="B96" s="114" t="s">
        <v>76</v>
      </c>
      <c r="C96" s="114"/>
      <c r="D96" s="12" t="s">
        <v>26</v>
      </c>
    </row>
    <row r="97" spans="1:6" x14ac:dyDescent="0.25">
      <c r="A97" s="8" t="s">
        <v>2</v>
      </c>
      <c r="B97" s="13" t="s">
        <v>77</v>
      </c>
      <c r="C97" s="20">
        <f>TRUNC(((1+1/3)/12)/12,4)</f>
        <v>9.1999999999999998E-3</v>
      </c>
      <c r="D97" s="14">
        <f t="shared" ref="D97:D102" si="1">TRUNC(($D$33+$D$76+$D$88)*C97,2)</f>
        <v>54.91</v>
      </c>
    </row>
    <row r="98" spans="1:6" x14ac:dyDescent="0.25">
      <c r="A98" s="8" t="s">
        <v>4</v>
      </c>
      <c r="B98" s="13" t="s">
        <v>78</v>
      </c>
      <c r="C98" s="20">
        <f>TRUNC(((2/30)/12),4)</f>
        <v>5.4999999999999997E-3</v>
      </c>
      <c r="D98" s="14">
        <f t="shared" si="1"/>
        <v>32.82</v>
      </c>
    </row>
    <row r="99" spans="1:6" x14ac:dyDescent="0.25">
      <c r="A99" s="8" t="s">
        <v>6</v>
      </c>
      <c r="B99" s="13" t="s">
        <v>79</v>
      </c>
      <c r="C99" s="20">
        <f>TRUNC(((5/30)/12)*2%,4)</f>
        <v>2.0000000000000001E-4</v>
      </c>
      <c r="D99" s="14">
        <f t="shared" si="1"/>
        <v>1.19</v>
      </c>
    </row>
    <row r="100" spans="1:6" x14ac:dyDescent="0.25">
      <c r="A100" s="8" t="s">
        <v>8</v>
      </c>
      <c r="B100" s="13" t="s">
        <v>80</v>
      </c>
      <c r="C100" s="20">
        <f>TRUNC(((15/30)/12)*8%,4)</f>
        <v>3.3E-3</v>
      </c>
      <c r="D100" s="14">
        <f t="shared" si="1"/>
        <v>19.690000000000001</v>
      </c>
    </row>
    <row r="101" spans="1:6" x14ac:dyDescent="0.25">
      <c r="A101" s="8" t="s">
        <v>31</v>
      </c>
      <c r="B101" s="13" t="s">
        <v>81</v>
      </c>
      <c r="C101" s="20">
        <f>((1+1/3)/12)*3%*(4/12)</f>
        <v>1.1111111111111109E-3</v>
      </c>
      <c r="D101" s="14">
        <f t="shared" si="1"/>
        <v>6.63</v>
      </c>
    </row>
    <row r="102" spans="1:6" x14ac:dyDescent="0.25">
      <c r="A102" s="8" t="s">
        <v>51</v>
      </c>
      <c r="B102" s="13" t="s">
        <v>82</v>
      </c>
      <c r="C102" s="20"/>
      <c r="D102" s="14">
        <f t="shared" si="1"/>
        <v>0</v>
      </c>
    </row>
    <row r="103" spans="1:6" ht="12.75" customHeight="1" x14ac:dyDescent="0.25">
      <c r="A103" s="110" t="s">
        <v>56</v>
      </c>
      <c r="B103" s="110"/>
      <c r="C103" s="110"/>
      <c r="D103" s="19">
        <f>SUM(D97:D102)</f>
        <v>115.23999999999998</v>
      </c>
      <c r="E103" s="26"/>
      <c r="F103" s="26"/>
    </row>
    <row r="106" spans="1:6" x14ac:dyDescent="0.25">
      <c r="A106" s="112" t="s">
        <v>83</v>
      </c>
      <c r="B106" s="112"/>
      <c r="C106" s="112"/>
      <c r="D106" s="112"/>
    </row>
    <row r="107" spans="1:6" x14ac:dyDescent="0.25">
      <c r="A107" s="16"/>
    </row>
    <row r="108" spans="1:6" ht="12.75" customHeight="1" x14ac:dyDescent="0.25">
      <c r="A108" s="12" t="s">
        <v>84</v>
      </c>
      <c r="B108" s="114" t="s">
        <v>85</v>
      </c>
      <c r="C108" s="114"/>
      <c r="D108" s="12" t="s">
        <v>26</v>
      </c>
    </row>
    <row r="109" spans="1:6" ht="12.75" customHeight="1" x14ac:dyDescent="0.25">
      <c r="A109" s="8" t="s">
        <v>2</v>
      </c>
      <c r="B109" s="111" t="s">
        <v>86</v>
      </c>
      <c r="C109" s="111"/>
      <c r="D109" s="14">
        <f>((D33+D76+D88)/220)*22*0</f>
        <v>0</v>
      </c>
    </row>
    <row r="110" spans="1:6" ht="12.75" customHeight="1" x14ac:dyDescent="0.25">
      <c r="A110" s="110" t="s">
        <v>35</v>
      </c>
      <c r="B110" s="110"/>
      <c r="C110" s="110"/>
      <c r="D110" s="19">
        <f>SUM(D109)</f>
        <v>0</v>
      </c>
    </row>
    <row r="113" spans="1:4" x14ac:dyDescent="0.25">
      <c r="A113" s="112" t="s">
        <v>87</v>
      </c>
      <c r="B113" s="112"/>
      <c r="C113" s="112"/>
      <c r="D113" s="112"/>
    </row>
    <row r="114" spans="1:4" x14ac:dyDescent="0.25">
      <c r="A114" s="16"/>
    </row>
    <row r="115" spans="1:4" ht="12.75" customHeight="1" x14ac:dyDescent="0.25">
      <c r="A115" s="12">
        <v>4</v>
      </c>
      <c r="B115" s="110" t="s">
        <v>88</v>
      </c>
      <c r="C115" s="110"/>
      <c r="D115" s="12" t="s">
        <v>26</v>
      </c>
    </row>
    <row r="116" spans="1:4" ht="12.75" customHeight="1" x14ac:dyDescent="0.25">
      <c r="A116" s="8" t="s">
        <v>75</v>
      </c>
      <c r="B116" s="111" t="s">
        <v>76</v>
      </c>
      <c r="C116" s="111"/>
      <c r="D116" s="23">
        <f>D103</f>
        <v>115.23999999999998</v>
      </c>
    </row>
    <row r="117" spans="1:4" ht="12.75" customHeight="1" x14ac:dyDescent="0.25">
      <c r="A117" s="8" t="s">
        <v>84</v>
      </c>
      <c r="B117" s="111" t="s">
        <v>85</v>
      </c>
      <c r="C117" s="111"/>
      <c r="D117" s="23">
        <f>D110</f>
        <v>0</v>
      </c>
    </row>
    <row r="118" spans="1:4" ht="12.75" customHeight="1" x14ac:dyDescent="0.25">
      <c r="A118" s="110" t="s">
        <v>35</v>
      </c>
      <c r="B118" s="110"/>
      <c r="C118" s="110"/>
      <c r="D118" s="19">
        <f>SUM(D116:D117)</f>
        <v>115.23999999999998</v>
      </c>
    </row>
    <row r="121" spans="1:4" x14ac:dyDescent="0.25">
      <c r="A121" s="105" t="s">
        <v>89</v>
      </c>
      <c r="B121" s="105"/>
      <c r="C121" s="105"/>
      <c r="D121" s="105"/>
    </row>
    <row r="123" spans="1:4" ht="12.75" customHeight="1" x14ac:dyDescent="0.25">
      <c r="A123" s="12">
        <v>5</v>
      </c>
      <c r="B123" s="115" t="s">
        <v>90</v>
      </c>
      <c r="C123" s="115"/>
      <c r="D123" s="12" t="s">
        <v>26</v>
      </c>
    </row>
    <row r="124" spans="1:4" x14ac:dyDescent="0.25">
      <c r="A124" s="8" t="s">
        <v>2</v>
      </c>
      <c r="B124" s="13" t="s">
        <v>91</v>
      </c>
      <c r="C124" s="13"/>
      <c r="D124" s="14">
        <v>66.040000000000006</v>
      </c>
    </row>
    <row r="125" spans="1:4" x14ac:dyDescent="0.25">
      <c r="A125" s="8" t="s">
        <v>4</v>
      </c>
      <c r="B125" s="13" t="s">
        <v>92</v>
      </c>
      <c r="C125" s="13"/>
      <c r="D125" s="14">
        <v>61.36</v>
      </c>
    </row>
    <row r="126" spans="1:4" x14ac:dyDescent="0.25">
      <c r="A126" s="8" t="s">
        <v>6</v>
      </c>
      <c r="B126" s="13" t="s">
        <v>93</v>
      </c>
      <c r="C126" s="13"/>
      <c r="D126" s="14">
        <v>40.22</v>
      </c>
    </row>
    <row r="127" spans="1:4" x14ac:dyDescent="0.25">
      <c r="A127" s="8" t="s">
        <v>8</v>
      </c>
      <c r="B127" s="13" t="s">
        <v>34</v>
      </c>
      <c r="C127" s="13"/>
      <c r="D127" s="14"/>
    </row>
    <row r="128" spans="1:4" ht="12.75" customHeight="1" x14ac:dyDescent="0.25">
      <c r="A128" s="110" t="s">
        <v>56</v>
      </c>
      <c r="B128" s="110"/>
      <c r="C128" s="110"/>
      <c r="D128" s="15">
        <f>SUM(D124:D127)</f>
        <v>167.62</v>
      </c>
    </row>
    <row r="131" spans="1:4" x14ac:dyDescent="0.25">
      <c r="A131" s="105" t="s">
        <v>94</v>
      </c>
      <c r="B131" s="105"/>
      <c r="C131" s="105"/>
      <c r="D131" s="105"/>
    </row>
    <row r="133" spans="1:4" x14ac:dyDescent="0.25">
      <c r="A133" s="12">
        <v>6</v>
      </c>
      <c r="B133" s="28" t="s">
        <v>95</v>
      </c>
      <c r="C133" s="12" t="s">
        <v>45</v>
      </c>
      <c r="D133" s="12" t="s">
        <v>26</v>
      </c>
    </row>
    <row r="134" spans="1:4" x14ac:dyDescent="0.25">
      <c r="A134" s="8" t="s">
        <v>2</v>
      </c>
      <c r="B134" s="13" t="s">
        <v>96</v>
      </c>
      <c r="C134" s="20">
        <v>0.05</v>
      </c>
      <c r="D134" s="23">
        <f>D154*C134</f>
        <v>312.58952999999997</v>
      </c>
    </row>
    <row r="135" spans="1:4" x14ac:dyDescent="0.25">
      <c r="A135" s="8" t="s">
        <v>4</v>
      </c>
      <c r="B135" s="13" t="s">
        <v>97</v>
      </c>
      <c r="C135" s="20">
        <v>0.06</v>
      </c>
      <c r="D135" s="14">
        <f>(D154+D134)*C135</f>
        <v>393.86280779999998</v>
      </c>
    </row>
    <row r="136" spans="1:4" x14ac:dyDescent="0.25">
      <c r="A136" s="8" t="s">
        <v>6</v>
      </c>
      <c r="B136" s="13" t="s">
        <v>98</v>
      </c>
      <c r="C136" s="17">
        <f>SUM(C137:C142)</f>
        <v>8.6499999999999994E-2</v>
      </c>
      <c r="D136" s="14">
        <f>(D154+D134+D135)*C136/(1-C136)</f>
        <v>658.88124151034481</v>
      </c>
    </row>
    <row r="137" spans="1:4" x14ac:dyDescent="0.25">
      <c r="A137" s="8"/>
      <c r="B137" s="13" t="s">
        <v>99</v>
      </c>
      <c r="C137" s="20"/>
      <c r="D137" s="23">
        <f t="shared" ref="D137:D142" si="2">$D$156*C137</f>
        <v>0</v>
      </c>
    </row>
    <row r="138" spans="1:4" x14ac:dyDescent="0.25">
      <c r="A138" s="8"/>
      <c r="B138" s="13" t="s">
        <v>100</v>
      </c>
      <c r="C138" s="20">
        <v>6.4999999999999997E-3</v>
      </c>
      <c r="D138" s="23">
        <f t="shared" si="2"/>
        <v>49.511307165517231</v>
      </c>
    </row>
    <row r="139" spans="1:4" x14ac:dyDescent="0.25">
      <c r="A139" s="8"/>
      <c r="B139" s="13" t="s">
        <v>101</v>
      </c>
      <c r="C139" s="20">
        <v>0.03</v>
      </c>
      <c r="D139" s="23">
        <f t="shared" si="2"/>
        <v>228.5137253793103</v>
      </c>
    </row>
    <row r="140" spans="1:4" x14ac:dyDescent="0.25">
      <c r="A140" s="8"/>
      <c r="B140" s="13" t="s">
        <v>102</v>
      </c>
      <c r="C140" s="65"/>
      <c r="D140" s="23">
        <f t="shared" si="2"/>
        <v>0</v>
      </c>
    </row>
    <row r="141" spans="1:4" x14ac:dyDescent="0.25">
      <c r="A141" s="8"/>
      <c r="B141" s="13" t="s">
        <v>103</v>
      </c>
      <c r="C141" s="20"/>
      <c r="D141" s="23">
        <f t="shared" si="2"/>
        <v>0</v>
      </c>
    </row>
    <row r="142" spans="1:4" x14ac:dyDescent="0.25">
      <c r="A142" s="8"/>
      <c r="B142" s="13" t="s">
        <v>104</v>
      </c>
      <c r="C142" s="20">
        <v>0.05</v>
      </c>
      <c r="D142" s="23">
        <f t="shared" si="2"/>
        <v>380.85620896551723</v>
      </c>
    </row>
    <row r="143" spans="1:4" ht="13.5" customHeight="1" x14ac:dyDescent="0.25">
      <c r="A143" s="116" t="s">
        <v>56</v>
      </c>
      <c r="B143" s="116"/>
      <c r="C143" s="29">
        <f>ROUND((1+C135)*(1+C134)/(1-C136)-1,4)</f>
        <v>0.21840000000000001</v>
      </c>
      <c r="D143" s="19">
        <f>SUM(D134:D136)</f>
        <v>1365.3335793103447</v>
      </c>
    </row>
    <row r="146" spans="1:4" x14ac:dyDescent="0.25">
      <c r="A146" s="105" t="s">
        <v>105</v>
      </c>
      <c r="B146" s="105"/>
      <c r="C146" s="105"/>
      <c r="D146" s="105"/>
    </row>
    <row r="148" spans="1:4" ht="12.75" customHeight="1" x14ac:dyDescent="0.25">
      <c r="A148" s="12"/>
      <c r="B148" s="110" t="s">
        <v>106</v>
      </c>
      <c r="C148" s="110"/>
      <c r="D148" s="12" t="s">
        <v>26</v>
      </c>
    </row>
    <row r="149" spans="1:4" ht="12.75" customHeight="1" x14ac:dyDescent="0.25">
      <c r="A149" s="12" t="s">
        <v>2</v>
      </c>
      <c r="B149" s="111" t="s">
        <v>24</v>
      </c>
      <c r="C149" s="111"/>
      <c r="D149" s="30">
        <f>D33</f>
        <v>3472.5479999999998</v>
      </c>
    </row>
    <row r="150" spans="1:4" ht="12.75" customHeight="1" x14ac:dyDescent="0.25">
      <c r="A150" s="12" t="s">
        <v>4</v>
      </c>
      <c r="B150" s="111" t="s">
        <v>36</v>
      </c>
      <c r="C150" s="111"/>
      <c r="D150" s="30">
        <f>D76</f>
        <v>2282.5126</v>
      </c>
    </row>
    <row r="151" spans="1:4" ht="12.75" customHeight="1" x14ac:dyDescent="0.25">
      <c r="A151" s="12" t="s">
        <v>6</v>
      </c>
      <c r="B151" s="111" t="s">
        <v>65</v>
      </c>
      <c r="C151" s="111"/>
      <c r="D151" s="30">
        <f>D88</f>
        <v>213.87</v>
      </c>
    </row>
    <row r="152" spans="1:4" ht="12.75" customHeight="1" x14ac:dyDescent="0.25">
      <c r="A152" s="12" t="s">
        <v>8</v>
      </c>
      <c r="B152" s="111" t="s">
        <v>73</v>
      </c>
      <c r="C152" s="111"/>
      <c r="D152" s="30">
        <f>D118</f>
        <v>115.23999999999998</v>
      </c>
    </row>
    <row r="153" spans="1:4" ht="12.75" customHeight="1" x14ac:dyDescent="0.25">
      <c r="A153" s="12" t="s">
        <v>31</v>
      </c>
      <c r="B153" s="111" t="s">
        <v>89</v>
      </c>
      <c r="C153" s="111"/>
      <c r="D153" s="30">
        <f>D128</f>
        <v>167.62</v>
      </c>
    </row>
    <row r="154" spans="1:4" ht="12.75" customHeight="1" x14ac:dyDescent="0.25">
      <c r="A154" s="110" t="s">
        <v>107</v>
      </c>
      <c r="B154" s="110"/>
      <c r="C154" s="110"/>
      <c r="D154" s="31">
        <f>SUM(D149:D153)</f>
        <v>6251.7905999999994</v>
      </c>
    </row>
    <row r="155" spans="1:4" ht="12.75" customHeight="1" x14ac:dyDescent="0.25">
      <c r="A155" s="12" t="s">
        <v>51</v>
      </c>
      <c r="B155" s="111" t="s">
        <v>108</v>
      </c>
      <c r="C155" s="111"/>
      <c r="D155" s="32">
        <f>D143</f>
        <v>1365.3335793103447</v>
      </c>
    </row>
    <row r="156" spans="1:4" ht="12.75" customHeight="1" x14ac:dyDescent="0.25">
      <c r="A156" s="110" t="s">
        <v>109</v>
      </c>
      <c r="B156" s="110"/>
      <c r="C156" s="110"/>
      <c r="D156" s="31">
        <f>SUM(D154:D155)</f>
        <v>7617.1241793103436</v>
      </c>
    </row>
  </sheetData>
  <mergeCells count="71">
    <mergeCell ref="A156:C156"/>
    <mergeCell ref="B151:C151"/>
    <mergeCell ref="B152:C152"/>
    <mergeCell ref="B153:C153"/>
    <mergeCell ref="A154:C154"/>
    <mergeCell ref="B155:C155"/>
    <mergeCell ref="A143:B143"/>
    <mergeCell ref="A146:D146"/>
    <mergeCell ref="B148:C148"/>
    <mergeCell ref="B149:C149"/>
    <mergeCell ref="B150:C150"/>
    <mergeCell ref="A118:C118"/>
    <mergeCell ref="A121:D121"/>
    <mergeCell ref="B123:C123"/>
    <mergeCell ref="A128:C128"/>
    <mergeCell ref="A131:D131"/>
    <mergeCell ref="A110:C110"/>
    <mergeCell ref="A113:D113"/>
    <mergeCell ref="B115:C115"/>
    <mergeCell ref="B116:C116"/>
    <mergeCell ref="B117:C117"/>
    <mergeCell ref="B96:C96"/>
    <mergeCell ref="A103:C103"/>
    <mergeCell ref="A106:D106"/>
    <mergeCell ref="B108:C108"/>
    <mergeCell ref="B109:C109"/>
    <mergeCell ref="A79:D79"/>
    <mergeCell ref="B81:C81"/>
    <mergeCell ref="A88:C88"/>
    <mergeCell ref="A91:D91"/>
    <mergeCell ref="A94:D94"/>
    <mergeCell ref="B72:C72"/>
    <mergeCell ref="B73:C73"/>
    <mergeCell ref="B74:C74"/>
    <mergeCell ref="B75:C75"/>
    <mergeCell ref="A76:C76"/>
    <mergeCell ref="B64:C64"/>
    <mergeCell ref="B65:C65"/>
    <mergeCell ref="B66:C66"/>
    <mergeCell ref="A67:C67"/>
    <mergeCell ref="A70:D70"/>
    <mergeCell ref="A46:D46"/>
    <mergeCell ref="A57:B57"/>
    <mergeCell ref="A60:D60"/>
    <mergeCell ref="B62:C62"/>
    <mergeCell ref="B63:C63"/>
    <mergeCell ref="A33:C33"/>
    <mergeCell ref="A36:D36"/>
    <mergeCell ref="A38:D38"/>
    <mergeCell ref="B40:C40"/>
    <mergeCell ref="A43:B43"/>
    <mergeCell ref="B28:C28"/>
    <mergeCell ref="B29:C29"/>
    <mergeCell ref="B30:C30"/>
    <mergeCell ref="B31:C31"/>
    <mergeCell ref="B32:C32"/>
    <mergeCell ref="C21:D21"/>
    <mergeCell ref="A23:D23"/>
    <mergeCell ref="B25:C25"/>
    <mergeCell ref="B26:C26"/>
    <mergeCell ref="B27:C27"/>
    <mergeCell ref="A15:D15"/>
    <mergeCell ref="C17:D17"/>
    <mergeCell ref="C18:D18"/>
    <mergeCell ref="C19:D19"/>
    <mergeCell ref="C20:D20"/>
    <mergeCell ref="A1:D1"/>
    <mergeCell ref="A3:D3"/>
    <mergeCell ref="A10:D10"/>
    <mergeCell ref="A12:B12"/>
    <mergeCell ref="A13:B13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6"/>
  <sheetViews>
    <sheetView topLeftCell="A10" zoomScale="115" zoomScaleNormal="115" workbookViewId="0">
      <selection activeCell="D64" sqref="D64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104" t="s">
        <v>0</v>
      </c>
      <c r="B1" s="104"/>
      <c r="C1" s="104"/>
      <c r="D1" s="104"/>
    </row>
    <row r="2" spans="1:4" ht="15.75" x14ac:dyDescent="0.25">
      <c r="A2" s="2"/>
      <c r="B2" s="2"/>
      <c r="C2" s="2"/>
      <c r="D2" s="2"/>
    </row>
    <row r="3" spans="1:4" x14ac:dyDescent="0.25">
      <c r="A3" s="105" t="s">
        <v>1</v>
      </c>
      <c r="B3" s="105"/>
      <c r="C3" s="105"/>
      <c r="D3" s="105"/>
    </row>
    <row r="4" spans="1:4" x14ac:dyDescent="0.25">
      <c r="A4" s="3"/>
      <c r="B4" s="3"/>
      <c r="C4" s="3"/>
      <c r="D4" s="3"/>
    </row>
    <row r="5" spans="1:4" x14ac:dyDescent="0.25">
      <c r="A5" s="4" t="s">
        <v>2</v>
      </c>
      <c r="B5" s="5" t="s">
        <v>3</v>
      </c>
      <c r="C5" s="6"/>
      <c r="D5" s="7"/>
    </row>
    <row r="6" spans="1:4" x14ac:dyDescent="0.25">
      <c r="A6" s="4" t="s">
        <v>4</v>
      </c>
      <c r="B6" s="5" t="s">
        <v>5</v>
      </c>
      <c r="C6" s="6"/>
      <c r="D6" s="7"/>
    </row>
    <row r="7" spans="1:4" x14ac:dyDescent="0.25">
      <c r="A7" s="4" t="s">
        <v>6</v>
      </c>
      <c r="B7" s="5" t="s">
        <v>7</v>
      </c>
      <c r="C7" s="6"/>
      <c r="D7" s="7"/>
    </row>
    <row r="8" spans="1:4" x14ac:dyDescent="0.25">
      <c r="A8" s="4" t="s">
        <v>8</v>
      </c>
      <c r="B8" s="5" t="s">
        <v>9</v>
      </c>
      <c r="C8" s="6"/>
      <c r="D8" s="7">
        <v>24</v>
      </c>
    </row>
    <row r="10" spans="1:4" x14ac:dyDescent="0.25">
      <c r="A10" s="105" t="s">
        <v>10</v>
      </c>
      <c r="B10" s="105"/>
      <c r="C10" s="105"/>
      <c r="D10" s="105"/>
    </row>
    <row r="11" spans="1:4" x14ac:dyDescent="0.25">
      <c r="A11" s="3"/>
      <c r="B11" s="3"/>
      <c r="C11" s="3"/>
      <c r="D11" s="3"/>
    </row>
    <row r="12" spans="1:4" ht="38.25" customHeight="1" x14ac:dyDescent="0.25">
      <c r="A12" s="106" t="s">
        <v>11</v>
      </c>
      <c r="B12" s="106"/>
      <c r="C12" s="73" t="s">
        <v>12</v>
      </c>
      <c r="D12" s="9" t="s">
        <v>13</v>
      </c>
    </row>
    <row r="13" spans="1:4" s="11" customFormat="1" ht="12.75" x14ac:dyDescent="0.2">
      <c r="A13" s="107" t="s">
        <v>193</v>
      </c>
      <c r="B13" s="107"/>
      <c r="C13" s="74" t="s">
        <v>15</v>
      </c>
      <c r="D13" s="74">
        <v>1</v>
      </c>
    </row>
    <row r="15" spans="1:4" x14ac:dyDescent="0.25">
      <c r="A15" s="105" t="s">
        <v>16</v>
      </c>
      <c r="B15" s="105"/>
      <c r="C15" s="105"/>
      <c r="D15" s="105"/>
    </row>
    <row r="16" spans="1:4" x14ac:dyDescent="0.25">
      <c r="A16" s="3"/>
      <c r="B16" s="3"/>
      <c r="C16" s="3"/>
      <c r="D16" s="3"/>
    </row>
    <row r="17" spans="1:4" x14ac:dyDescent="0.25">
      <c r="A17" s="4">
        <v>1</v>
      </c>
      <c r="B17" s="4" t="s">
        <v>17</v>
      </c>
      <c r="C17" s="108" t="s">
        <v>128</v>
      </c>
      <c r="D17" s="108"/>
    </row>
    <row r="18" spans="1:4" x14ac:dyDescent="0.25">
      <c r="A18" s="4">
        <v>2</v>
      </c>
      <c r="B18" s="4" t="s">
        <v>19</v>
      </c>
      <c r="C18" s="108" t="s">
        <v>129</v>
      </c>
      <c r="D18" s="108"/>
    </row>
    <row r="19" spans="1:4" x14ac:dyDescent="0.25">
      <c r="A19" s="4">
        <v>3</v>
      </c>
      <c r="B19" s="4" t="s">
        <v>21</v>
      </c>
      <c r="C19" s="108">
        <v>1400.22</v>
      </c>
      <c r="D19" s="108"/>
    </row>
    <row r="20" spans="1:4" x14ac:dyDescent="0.25">
      <c r="A20" s="4">
        <v>4</v>
      </c>
      <c r="B20" s="4" t="s">
        <v>22</v>
      </c>
      <c r="C20" s="108"/>
      <c r="D20" s="108"/>
    </row>
    <row r="21" spans="1:4" x14ac:dyDescent="0.25">
      <c r="A21" s="4">
        <v>5</v>
      </c>
      <c r="B21" s="4" t="s">
        <v>23</v>
      </c>
      <c r="C21" s="108"/>
      <c r="D21" s="108"/>
    </row>
    <row r="23" spans="1:4" x14ac:dyDescent="0.25">
      <c r="A23" s="105" t="s">
        <v>24</v>
      </c>
      <c r="B23" s="105"/>
      <c r="C23" s="105"/>
      <c r="D23" s="105"/>
    </row>
    <row r="25" spans="1:4" ht="12.75" customHeight="1" x14ac:dyDescent="0.25">
      <c r="A25" s="70">
        <v>1</v>
      </c>
      <c r="B25" s="110" t="s">
        <v>25</v>
      </c>
      <c r="C25" s="110"/>
      <c r="D25" s="70" t="s">
        <v>26</v>
      </c>
    </row>
    <row r="26" spans="1:4" ht="12.75" customHeight="1" x14ac:dyDescent="0.25">
      <c r="A26" s="73" t="s">
        <v>2</v>
      </c>
      <c r="B26" s="111" t="s">
        <v>27</v>
      </c>
      <c r="C26" s="111"/>
      <c r="D26" s="14">
        <v>1400.22</v>
      </c>
    </row>
    <row r="27" spans="1:4" ht="12.75" customHeight="1" x14ac:dyDescent="0.25">
      <c r="A27" s="73" t="s">
        <v>4</v>
      </c>
      <c r="B27" s="111" t="s">
        <v>28</v>
      </c>
      <c r="C27" s="111"/>
      <c r="D27" s="14"/>
    </row>
    <row r="28" spans="1:4" ht="12.75" customHeight="1" x14ac:dyDescent="0.25">
      <c r="A28" s="73" t="s">
        <v>6</v>
      </c>
      <c r="B28" s="111" t="s">
        <v>29</v>
      </c>
      <c r="C28" s="111"/>
      <c r="D28" s="14">
        <f>D26*0.2</f>
        <v>280.04400000000004</v>
      </c>
    </row>
    <row r="29" spans="1:4" ht="12.75" customHeight="1" x14ac:dyDescent="0.25">
      <c r="A29" s="73" t="s">
        <v>8</v>
      </c>
      <c r="B29" s="111" t="s">
        <v>30</v>
      </c>
      <c r="C29" s="111"/>
      <c r="D29" s="14">
        <f>8*22*((D26+D28)/220)*0.4</f>
        <v>537.68448000000001</v>
      </c>
    </row>
    <row r="30" spans="1:4" ht="12.75" customHeight="1" x14ac:dyDescent="0.25">
      <c r="A30" s="73" t="s">
        <v>31</v>
      </c>
      <c r="B30" s="111" t="s">
        <v>32</v>
      </c>
      <c r="C30" s="111"/>
      <c r="D30" s="14">
        <f>22*((D26+D28)/220)</f>
        <v>168.0264</v>
      </c>
    </row>
    <row r="31" spans="1:4" x14ac:dyDescent="0.25">
      <c r="A31" s="73"/>
      <c r="B31" s="111"/>
      <c r="C31" s="111"/>
      <c r="D31" s="14"/>
    </row>
    <row r="32" spans="1:4" ht="12.75" customHeight="1" x14ac:dyDescent="0.25">
      <c r="A32" s="73" t="s">
        <v>33</v>
      </c>
      <c r="B32" s="111" t="s">
        <v>34</v>
      </c>
      <c r="C32" s="111"/>
      <c r="D32" s="14"/>
    </row>
    <row r="33" spans="1:4" ht="12.75" customHeight="1" x14ac:dyDescent="0.25">
      <c r="A33" s="110" t="s">
        <v>35</v>
      </c>
      <c r="B33" s="110"/>
      <c r="C33" s="110"/>
      <c r="D33" s="15">
        <f>SUM(D26:D32)</f>
        <v>2385.9748800000002</v>
      </c>
    </row>
    <row r="36" spans="1:4" x14ac:dyDescent="0.25">
      <c r="A36" s="105" t="s">
        <v>36</v>
      </c>
      <c r="B36" s="105"/>
      <c r="C36" s="105"/>
      <c r="D36" s="105"/>
    </row>
    <row r="37" spans="1:4" x14ac:dyDescent="0.25">
      <c r="A37" s="16"/>
    </row>
    <row r="38" spans="1:4" x14ac:dyDescent="0.25">
      <c r="A38" s="112" t="s">
        <v>37</v>
      </c>
      <c r="B38" s="112"/>
      <c r="C38" s="112"/>
      <c r="D38" s="112"/>
    </row>
    <row r="40" spans="1:4" ht="12.75" customHeight="1" x14ac:dyDescent="0.25">
      <c r="A40" s="70" t="s">
        <v>38</v>
      </c>
      <c r="B40" s="110" t="s">
        <v>39</v>
      </c>
      <c r="C40" s="110"/>
      <c r="D40" s="70" t="s">
        <v>26</v>
      </c>
    </row>
    <row r="41" spans="1:4" x14ac:dyDescent="0.25">
      <c r="A41" s="73" t="s">
        <v>2</v>
      </c>
      <c r="B41" s="71" t="s">
        <v>40</v>
      </c>
      <c r="C41" s="17">
        <f>TRUNC(1/12,4)</f>
        <v>8.3299999999999999E-2</v>
      </c>
      <c r="D41" s="14">
        <f>TRUNC($D$33*C41,2)</f>
        <v>198.75</v>
      </c>
    </row>
    <row r="42" spans="1:4" x14ac:dyDescent="0.25">
      <c r="A42" s="73" t="s">
        <v>4</v>
      </c>
      <c r="B42" s="71" t="s">
        <v>41</v>
      </c>
      <c r="C42" s="17">
        <f>TRUNC(((1+1/3)/12),4)</f>
        <v>0.1111</v>
      </c>
      <c r="D42" s="14">
        <f>TRUNC($D$33*C42,2)</f>
        <v>265.08</v>
      </c>
    </row>
    <row r="43" spans="1:4" ht="12.75" customHeight="1" x14ac:dyDescent="0.25">
      <c r="A43" s="110" t="s">
        <v>35</v>
      </c>
      <c r="B43" s="110"/>
      <c r="C43" s="18">
        <f>SUM(C41:C42)</f>
        <v>0.19440000000000002</v>
      </c>
      <c r="D43" s="19">
        <f>SUM(D41:D42)</f>
        <v>463.83</v>
      </c>
    </row>
    <row r="46" spans="1:4" ht="12.75" customHeight="1" x14ac:dyDescent="0.25">
      <c r="A46" s="113" t="s">
        <v>42</v>
      </c>
      <c r="B46" s="113"/>
      <c r="C46" s="113"/>
      <c r="D46" s="113"/>
    </row>
    <row r="48" spans="1:4" x14ac:dyDescent="0.25">
      <c r="A48" s="70" t="s">
        <v>43</v>
      </c>
      <c r="B48" s="70" t="s">
        <v>44</v>
      </c>
      <c r="C48" s="70" t="s">
        <v>45</v>
      </c>
      <c r="D48" s="70" t="s">
        <v>26</v>
      </c>
    </row>
    <row r="49" spans="1:4" x14ac:dyDescent="0.25">
      <c r="A49" s="73" t="s">
        <v>2</v>
      </c>
      <c r="B49" s="71" t="s">
        <v>46</v>
      </c>
      <c r="C49" s="20">
        <v>0.2</v>
      </c>
      <c r="D49" s="14">
        <f t="shared" ref="D49:D56" si="0">TRUNC(($D$33+$D$43)*C49,2)</f>
        <v>569.96</v>
      </c>
    </row>
    <row r="50" spans="1:4" x14ac:dyDescent="0.25">
      <c r="A50" s="73" t="s">
        <v>4</v>
      </c>
      <c r="B50" s="71" t="s">
        <v>47</v>
      </c>
      <c r="C50" s="20">
        <v>2.5000000000000001E-2</v>
      </c>
      <c r="D50" s="14">
        <f t="shared" si="0"/>
        <v>71.239999999999995</v>
      </c>
    </row>
    <row r="51" spans="1:4" x14ac:dyDescent="0.25">
      <c r="A51" s="73" t="s">
        <v>6</v>
      </c>
      <c r="B51" s="71" t="s">
        <v>48</v>
      </c>
      <c r="C51" s="21">
        <v>0.03</v>
      </c>
      <c r="D51" s="14">
        <f t="shared" si="0"/>
        <v>85.49</v>
      </c>
    </row>
    <row r="52" spans="1:4" x14ac:dyDescent="0.25">
      <c r="A52" s="73" t="s">
        <v>8</v>
      </c>
      <c r="B52" s="71" t="s">
        <v>49</v>
      </c>
      <c r="C52" s="20">
        <v>1.4999999999999999E-2</v>
      </c>
      <c r="D52" s="14">
        <f t="shared" si="0"/>
        <v>42.74</v>
      </c>
    </row>
    <row r="53" spans="1:4" x14ac:dyDescent="0.25">
      <c r="A53" s="73" t="s">
        <v>31</v>
      </c>
      <c r="B53" s="71" t="s">
        <v>50</v>
      </c>
      <c r="C53" s="20">
        <v>0.01</v>
      </c>
      <c r="D53" s="14">
        <f t="shared" si="0"/>
        <v>28.49</v>
      </c>
    </row>
    <row r="54" spans="1:4" x14ac:dyDescent="0.25">
      <c r="A54" s="73" t="s">
        <v>51</v>
      </c>
      <c r="B54" s="71" t="s">
        <v>52</v>
      </c>
      <c r="C54" s="20">
        <v>6.0000000000000001E-3</v>
      </c>
      <c r="D54" s="14">
        <f t="shared" si="0"/>
        <v>17.09</v>
      </c>
    </row>
    <row r="55" spans="1:4" x14ac:dyDescent="0.25">
      <c r="A55" s="73" t="s">
        <v>33</v>
      </c>
      <c r="B55" s="71" t="s">
        <v>53</v>
      </c>
      <c r="C55" s="20">
        <v>2E-3</v>
      </c>
      <c r="D55" s="14">
        <f t="shared" si="0"/>
        <v>5.69</v>
      </c>
    </row>
    <row r="56" spans="1:4" x14ac:dyDescent="0.25">
      <c r="A56" s="73" t="s">
        <v>54</v>
      </c>
      <c r="B56" s="71" t="s">
        <v>55</v>
      </c>
      <c r="C56" s="20">
        <v>0.08</v>
      </c>
      <c r="D56" s="14">
        <f t="shared" si="0"/>
        <v>227.98</v>
      </c>
    </row>
    <row r="57" spans="1:4" ht="12.75" customHeight="1" x14ac:dyDescent="0.25">
      <c r="A57" s="110" t="s">
        <v>56</v>
      </c>
      <c r="B57" s="110"/>
      <c r="C57" s="22">
        <f>SUM(C49:C56)</f>
        <v>0.36800000000000005</v>
      </c>
      <c r="D57" s="19">
        <f>SUM(D49:D56)</f>
        <v>1048.68</v>
      </c>
    </row>
    <row r="60" spans="1:4" x14ac:dyDescent="0.25">
      <c r="A60" s="112" t="s">
        <v>57</v>
      </c>
      <c r="B60" s="112"/>
      <c r="C60" s="112"/>
      <c r="D60" s="112"/>
    </row>
    <row r="62" spans="1:4" ht="12.75" customHeight="1" x14ac:dyDescent="0.25">
      <c r="A62" s="70" t="s">
        <v>58</v>
      </c>
      <c r="B62" s="114" t="s">
        <v>59</v>
      </c>
      <c r="C62" s="114"/>
      <c r="D62" s="70" t="s">
        <v>26</v>
      </c>
    </row>
    <row r="63" spans="1:4" ht="12.75" customHeight="1" x14ac:dyDescent="0.25">
      <c r="A63" s="73" t="s">
        <v>2</v>
      </c>
      <c r="B63" s="111" t="s">
        <v>60</v>
      </c>
      <c r="C63" s="111"/>
      <c r="D63" s="14">
        <f>IF((22*2*4.9)&gt;(D26*0.06),(22*2*4.9)-(D26*0.06),0)</f>
        <v>131.58680000000004</v>
      </c>
    </row>
    <row r="64" spans="1:4" ht="12.75" customHeight="1" x14ac:dyDescent="0.25">
      <c r="A64" s="73" t="s">
        <v>4</v>
      </c>
      <c r="B64" s="111" t="s">
        <v>61</v>
      </c>
      <c r="C64" s="111"/>
      <c r="D64" s="14">
        <f>22*20.49*0.95</f>
        <v>428.24099999999993</v>
      </c>
    </row>
    <row r="65" spans="1:5" ht="12.75" customHeight="1" x14ac:dyDescent="0.25">
      <c r="A65" s="73" t="s">
        <v>6</v>
      </c>
      <c r="B65" s="111" t="s">
        <v>62</v>
      </c>
      <c r="C65" s="111"/>
      <c r="D65" s="14"/>
    </row>
    <row r="66" spans="1:5" ht="12.75" customHeight="1" x14ac:dyDescent="0.25">
      <c r="A66" s="73" t="s">
        <v>8</v>
      </c>
      <c r="B66" s="111" t="s">
        <v>34</v>
      </c>
      <c r="C66" s="111"/>
      <c r="D66" s="14"/>
    </row>
    <row r="67" spans="1:5" ht="12.75" customHeight="1" x14ac:dyDescent="0.25">
      <c r="A67" s="110" t="s">
        <v>35</v>
      </c>
      <c r="B67" s="110"/>
      <c r="C67" s="110"/>
      <c r="D67" s="19">
        <f>SUM(D63:D66)</f>
        <v>559.82780000000002</v>
      </c>
    </row>
    <row r="70" spans="1:5" x14ac:dyDescent="0.25">
      <c r="A70" s="112" t="s">
        <v>63</v>
      </c>
      <c r="B70" s="112"/>
      <c r="C70" s="112"/>
      <c r="D70" s="112"/>
    </row>
    <row r="72" spans="1:5" ht="12.75" customHeight="1" x14ac:dyDescent="0.25">
      <c r="A72" s="70">
        <v>2</v>
      </c>
      <c r="B72" s="114" t="s">
        <v>64</v>
      </c>
      <c r="C72" s="114"/>
      <c r="D72" s="70" t="s">
        <v>26</v>
      </c>
    </row>
    <row r="73" spans="1:5" ht="12.75" customHeight="1" x14ac:dyDescent="0.25">
      <c r="A73" s="73" t="s">
        <v>38</v>
      </c>
      <c r="B73" s="111" t="s">
        <v>39</v>
      </c>
      <c r="C73" s="111"/>
      <c r="D73" s="23">
        <f>D43</f>
        <v>463.83</v>
      </c>
    </row>
    <row r="74" spans="1:5" ht="12.75" customHeight="1" x14ac:dyDescent="0.25">
      <c r="A74" s="73" t="s">
        <v>43</v>
      </c>
      <c r="B74" s="111" t="s">
        <v>44</v>
      </c>
      <c r="C74" s="111"/>
      <c r="D74" s="23">
        <f>D57</f>
        <v>1048.68</v>
      </c>
    </row>
    <row r="75" spans="1:5" ht="12.75" customHeight="1" x14ac:dyDescent="0.25">
      <c r="A75" s="73" t="s">
        <v>58</v>
      </c>
      <c r="B75" s="111" t="s">
        <v>59</v>
      </c>
      <c r="C75" s="111"/>
      <c r="D75" s="23">
        <f>D67</f>
        <v>559.82780000000002</v>
      </c>
    </row>
    <row r="76" spans="1:5" ht="12.75" customHeight="1" x14ac:dyDescent="0.25">
      <c r="A76" s="110" t="s">
        <v>35</v>
      </c>
      <c r="B76" s="110"/>
      <c r="C76" s="110"/>
      <c r="D76" s="19">
        <f>SUM(D73:D75)</f>
        <v>2072.3378000000002</v>
      </c>
    </row>
    <row r="77" spans="1:5" x14ac:dyDescent="0.25">
      <c r="A77" s="24"/>
      <c r="E77" s="25"/>
    </row>
    <row r="79" spans="1:5" x14ac:dyDescent="0.25">
      <c r="A79" s="105" t="s">
        <v>65</v>
      </c>
      <c r="B79" s="105"/>
      <c r="C79" s="105"/>
      <c r="D79" s="105"/>
      <c r="E79" s="26"/>
    </row>
    <row r="80" spans="1:5" ht="12.75" customHeight="1" x14ac:dyDescent="0.25">
      <c r="E80" s="25"/>
    </row>
    <row r="81" spans="1:4" ht="12.75" customHeight="1" x14ac:dyDescent="0.25">
      <c r="A81" s="70">
        <v>3</v>
      </c>
      <c r="B81" s="114" t="s">
        <v>66</v>
      </c>
      <c r="C81" s="114"/>
      <c r="D81" s="70" t="s">
        <v>26</v>
      </c>
    </row>
    <row r="82" spans="1:4" x14ac:dyDescent="0.25">
      <c r="A82" s="73" t="s">
        <v>2</v>
      </c>
      <c r="B82" s="27" t="s">
        <v>67</v>
      </c>
      <c r="C82" s="20">
        <f>TRUNC(((1/12)*5%),4)</f>
        <v>4.1000000000000003E-3</v>
      </c>
      <c r="D82" s="14">
        <f>TRUNC($D$33*C82,2)</f>
        <v>9.7799999999999994</v>
      </c>
    </row>
    <row r="83" spans="1:4" x14ac:dyDescent="0.25">
      <c r="A83" s="73" t="s">
        <v>4</v>
      </c>
      <c r="B83" s="27" t="s">
        <v>68</v>
      </c>
      <c r="C83" s="20">
        <v>0.08</v>
      </c>
      <c r="D83" s="14">
        <f>TRUNC(D82*C83,2)</f>
        <v>0.78</v>
      </c>
    </row>
    <row r="84" spans="1:4" x14ac:dyDescent="0.25">
      <c r="A84" s="73" t="s">
        <v>6</v>
      </c>
      <c r="B84" s="27" t="s">
        <v>69</v>
      </c>
      <c r="C84" s="20">
        <f>TRUNC(8%*5%*40%,4)</f>
        <v>1.6000000000000001E-3</v>
      </c>
      <c r="D84" s="14">
        <f>TRUNC($D$33*C84,2)</f>
        <v>3.81</v>
      </c>
    </row>
    <row r="85" spans="1:4" x14ac:dyDescent="0.25">
      <c r="A85" s="73" t="s">
        <v>8</v>
      </c>
      <c r="B85" s="27" t="s">
        <v>70</v>
      </c>
      <c r="C85" s="20">
        <f>TRUNC(((7/30)/12)*95%,4)</f>
        <v>1.84E-2</v>
      </c>
      <c r="D85" s="14">
        <f>TRUNC($D$33*C85,2)</f>
        <v>43.9</v>
      </c>
    </row>
    <row r="86" spans="1:4" ht="25.5" x14ac:dyDescent="0.25">
      <c r="A86" s="73" t="s">
        <v>31</v>
      </c>
      <c r="B86" s="27" t="s">
        <v>71</v>
      </c>
      <c r="C86" s="20">
        <f>C57</f>
        <v>0.36800000000000005</v>
      </c>
      <c r="D86" s="14">
        <f>TRUNC(D85*C86,2)</f>
        <v>16.149999999999999</v>
      </c>
    </row>
    <row r="87" spans="1:4" x14ac:dyDescent="0.25">
      <c r="A87" s="73" t="s">
        <v>51</v>
      </c>
      <c r="B87" s="27" t="s">
        <v>72</v>
      </c>
      <c r="C87" s="20">
        <f>TRUNC(8%*95%*40%,4)</f>
        <v>3.04E-2</v>
      </c>
      <c r="D87" s="14">
        <f>TRUNC($D$33*C87,2)</f>
        <v>72.53</v>
      </c>
    </row>
    <row r="88" spans="1:4" ht="12.75" customHeight="1" x14ac:dyDescent="0.25">
      <c r="A88" s="110" t="s">
        <v>35</v>
      </c>
      <c r="B88" s="110"/>
      <c r="C88" s="110"/>
      <c r="D88" s="19">
        <f>SUM(D82:D87)</f>
        <v>146.94999999999999</v>
      </c>
    </row>
    <row r="91" spans="1:4" x14ac:dyDescent="0.25">
      <c r="A91" s="105" t="s">
        <v>73</v>
      </c>
      <c r="B91" s="105"/>
      <c r="C91" s="105"/>
      <c r="D91" s="105"/>
    </row>
    <row r="94" spans="1:4" x14ac:dyDescent="0.25">
      <c r="A94" s="112" t="s">
        <v>74</v>
      </c>
      <c r="B94" s="112"/>
      <c r="C94" s="112"/>
      <c r="D94" s="112"/>
    </row>
    <row r="95" spans="1:4" x14ac:dyDescent="0.25">
      <c r="A95" s="16"/>
    </row>
    <row r="96" spans="1:4" ht="12.75" customHeight="1" x14ac:dyDescent="0.25">
      <c r="A96" s="70" t="s">
        <v>75</v>
      </c>
      <c r="B96" s="114" t="s">
        <v>76</v>
      </c>
      <c r="C96" s="114"/>
      <c r="D96" s="70" t="s">
        <v>26</v>
      </c>
    </row>
    <row r="97" spans="1:6" x14ac:dyDescent="0.25">
      <c r="A97" s="73" t="s">
        <v>2</v>
      </c>
      <c r="B97" s="71" t="s">
        <v>77</v>
      </c>
      <c r="C97" s="20">
        <f>TRUNC(((1+1/3)/12)/12,4)</f>
        <v>9.1999999999999998E-3</v>
      </c>
      <c r="D97" s="14">
        <f t="shared" ref="D97:D102" si="1">TRUNC(($D$33+$D$76+$D$88)*C97,2)</f>
        <v>42.36</v>
      </c>
    </row>
    <row r="98" spans="1:6" x14ac:dyDescent="0.25">
      <c r="A98" s="73" t="s">
        <v>4</v>
      </c>
      <c r="B98" s="71" t="s">
        <v>78</v>
      </c>
      <c r="C98" s="20">
        <f>TRUNC(((2/30)/12),4)</f>
        <v>5.4999999999999997E-3</v>
      </c>
      <c r="D98" s="14">
        <f t="shared" si="1"/>
        <v>25.32</v>
      </c>
    </row>
    <row r="99" spans="1:6" x14ac:dyDescent="0.25">
      <c r="A99" s="73" t="s">
        <v>6</v>
      </c>
      <c r="B99" s="71" t="s">
        <v>79</v>
      </c>
      <c r="C99" s="20">
        <f>TRUNC(((5/30)/12)*2%,4)</f>
        <v>2.0000000000000001E-4</v>
      </c>
      <c r="D99" s="14">
        <f t="shared" si="1"/>
        <v>0.92</v>
      </c>
    </row>
    <row r="100" spans="1:6" x14ac:dyDescent="0.25">
      <c r="A100" s="73" t="s">
        <v>8</v>
      </c>
      <c r="B100" s="71" t="s">
        <v>80</v>
      </c>
      <c r="C100" s="20">
        <f>TRUNC(((15/30)/12)*8%,4)</f>
        <v>3.3E-3</v>
      </c>
      <c r="D100" s="14">
        <f t="shared" si="1"/>
        <v>15.19</v>
      </c>
    </row>
    <row r="101" spans="1:6" x14ac:dyDescent="0.25">
      <c r="A101" s="73" t="s">
        <v>31</v>
      </c>
      <c r="B101" s="71" t="s">
        <v>81</v>
      </c>
      <c r="C101" s="20">
        <f>((1+1/3)/12)*3%*(4/12)</f>
        <v>1.1111111111111109E-3</v>
      </c>
      <c r="D101" s="14">
        <f t="shared" si="1"/>
        <v>5.1100000000000003</v>
      </c>
    </row>
    <row r="102" spans="1:6" x14ac:dyDescent="0.25">
      <c r="A102" s="73" t="s">
        <v>51</v>
      </c>
      <c r="B102" s="71" t="s">
        <v>82</v>
      </c>
      <c r="C102" s="20"/>
      <c r="D102" s="14">
        <f t="shared" si="1"/>
        <v>0</v>
      </c>
    </row>
    <row r="103" spans="1:6" ht="12.75" customHeight="1" x14ac:dyDescent="0.25">
      <c r="A103" s="110" t="s">
        <v>56</v>
      </c>
      <c r="B103" s="110"/>
      <c r="C103" s="110"/>
      <c r="D103" s="19">
        <f>SUM(D97:D102)</f>
        <v>88.9</v>
      </c>
      <c r="E103" s="26"/>
      <c r="F103" s="26"/>
    </row>
    <row r="106" spans="1:6" x14ac:dyDescent="0.25">
      <c r="A106" s="112" t="s">
        <v>83</v>
      </c>
      <c r="B106" s="112"/>
      <c r="C106" s="112"/>
      <c r="D106" s="112"/>
    </row>
    <row r="107" spans="1:6" x14ac:dyDescent="0.25">
      <c r="A107" s="16"/>
    </row>
    <row r="108" spans="1:6" ht="12.75" customHeight="1" x14ac:dyDescent="0.25">
      <c r="A108" s="70" t="s">
        <v>84</v>
      </c>
      <c r="B108" s="114" t="s">
        <v>85</v>
      </c>
      <c r="C108" s="114"/>
      <c r="D108" s="70" t="s">
        <v>26</v>
      </c>
    </row>
    <row r="109" spans="1:6" ht="12.75" customHeight="1" x14ac:dyDescent="0.25">
      <c r="A109" s="73" t="s">
        <v>2</v>
      </c>
      <c r="B109" s="111" t="s">
        <v>86</v>
      </c>
      <c r="C109" s="111"/>
      <c r="D109" s="14">
        <f>((D33+D76+D88)/220)*22*0</f>
        <v>0</v>
      </c>
    </row>
    <row r="110" spans="1:6" ht="12.75" customHeight="1" x14ac:dyDescent="0.25">
      <c r="A110" s="110" t="s">
        <v>35</v>
      </c>
      <c r="B110" s="110"/>
      <c r="C110" s="110"/>
      <c r="D110" s="19">
        <f>SUM(D109)</f>
        <v>0</v>
      </c>
    </row>
    <row r="113" spans="1:4" x14ac:dyDescent="0.25">
      <c r="A113" s="112" t="s">
        <v>87</v>
      </c>
      <c r="B113" s="112"/>
      <c r="C113" s="112"/>
      <c r="D113" s="112"/>
    </row>
    <row r="114" spans="1:4" x14ac:dyDescent="0.25">
      <c r="A114" s="16"/>
    </row>
    <row r="115" spans="1:4" ht="12.75" customHeight="1" x14ac:dyDescent="0.25">
      <c r="A115" s="70">
        <v>4</v>
      </c>
      <c r="B115" s="110" t="s">
        <v>88</v>
      </c>
      <c r="C115" s="110"/>
      <c r="D115" s="70" t="s">
        <v>26</v>
      </c>
    </row>
    <row r="116" spans="1:4" ht="12.75" customHeight="1" x14ac:dyDescent="0.25">
      <c r="A116" s="73" t="s">
        <v>75</v>
      </c>
      <c r="B116" s="111" t="s">
        <v>76</v>
      </c>
      <c r="C116" s="111"/>
      <c r="D116" s="23">
        <f>D103</f>
        <v>88.9</v>
      </c>
    </row>
    <row r="117" spans="1:4" ht="12.75" customHeight="1" x14ac:dyDescent="0.25">
      <c r="A117" s="73" t="s">
        <v>84</v>
      </c>
      <c r="B117" s="111" t="s">
        <v>85</v>
      </c>
      <c r="C117" s="111"/>
      <c r="D117" s="23">
        <f>D110</f>
        <v>0</v>
      </c>
    </row>
    <row r="118" spans="1:4" ht="12.75" customHeight="1" x14ac:dyDescent="0.25">
      <c r="A118" s="110" t="s">
        <v>35</v>
      </c>
      <c r="B118" s="110"/>
      <c r="C118" s="110"/>
      <c r="D118" s="19">
        <f>SUM(D116:D117)</f>
        <v>88.9</v>
      </c>
    </row>
    <row r="121" spans="1:4" x14ac:dyDescent="0.25">
      <c r="A121" s="105" t="s">
        <v>89</v>
      </c>
      <c r="B121" s="105"/>
      <c r="C121" s="105"/>
      <c r="D121" s="105"/>
    </row>
    <row r="123" spans="1:4" ht="12.75" customHeight="1" x14ac:dyDescent="0.25">
      <c r="A123" s="70">
        <v>5</v>
      </c>
      <c r="B123" s="115" t="s">
        <v>90</v>
      </c>
      <c r="C123" s="115"/>
      <c r="D123" s="70" t="s">
        <v>26</v>
      </c>
    </row>
    <row r="124" spans="1:4" x14ac:dyDescent="0.25">
      <c r="A124" s="73" t="s">
        <v>2</v>
      </c>
      <c r="B124" s="71" t="s">
        <v>91</v>
      </c>
      <c r="C124" s="71"/>
      <c r="D124" s="14">
        <v>66.040000000000006</v>
      </c>
    </row>
    <row r="125" spans="1:4" x14ac:dyDescent="0.25">
      <c r="A125" s="73" t="s">
        <v>4</v>
      </c>
      <c r="B125" s="71" t="s">
        <v>92</v>
      </c>
      <c r="C125" s="71"/>
      <c r="D125" s="14">
        <v>61.36</v>
      </c>
    </row>
    <row r="126" spans="1:4" x14ac:dyDescent="0.25">
      <c r="A126" s="73" t="s">
        <v>6</v>
      </c>
      <c r="B126" s="71" t="s">
        <v>93</v>
      </c>
      <c r="C126" s="71"/>
      <c r="D126" s="14">
        <v>40.22</v>
      </c>
    </row>
    <row r="127" spans="1:4" x14ac:dyDescent="0.25">
      <c r="A127" s="73" t="s">
        <v>8</v>
      </c>
      <c r="B127" s="71" t="s">
        <v>34</v>
      </c>
      <c r="C127" s="71"/>
      <c r="D127" s="14"/>
    </row>
    <row r="128" spans="1:4" ht="12.75" customHeight="1" x14ac:dyDescent="0.25">
      <c r="A128" s="110" t="s">
        <v>56</v>
      </c>
      <c r="B128" s="110"/>
      <c r="C128" s="110"/>
      <c r="D128" s="15">
        <f>SUM(D124:D127)</f>
        <v>167.62</v>
      </c>
    </row>
    <row r="131" spans="1:4" x14ac:dyDescent="0.25">
      <c r="A131" s="105" t="s">
        <v>94</v>
      </c>
      <c r="B131" s="105"/>
      <c r="C131" s="105"/>
      <c r="D131" s="105"/>
    </row>
    <row r="133" spans="1:4" x14ac:dyDescent="0.25">
      <c r="A133" s="70">
        <v>6</v>
      </c>
      <c r="B133" s="72" t="s">
        <v>95</v>
      </c>
      <c r="C133" s="70" t="s">
        <v>45</v>
      </c>
      <c r="D133" s="70" t="s">
        <v>26</v>
      </c>
    </row>
    <row r="134" spans="1:4" x14ac:dyDescent="0.25">
      <c r="A134" s="73" t="s">
        <v>2</v>
      </c>
      <c r="B134" s="71" t="s">
        <v>96</v>
      </c>
      <c r="C134" s="20">
        <v>0.05</v>
      </c>
      <c r="D134" s="23">
        <f>D154*C134</f>
        <v>243.08913400000003</v>
      </c>
    </row>
    <row r="135" spans="1:4" x14ac:dyDescent="0.25">
      <c r="A135" s="73" t="s">
        <v>4</v>
      </c>
      <c r="B135" s="71" t="s">
        <v>97</v>
      </c>
      <c r="C135" s="20">
        <v>0.06</v>
      </c>
      <c r="D135" s="14">
        <f>(D154+D134)*C135</f>
        <v>306.29230883999998</v>
      </c>
    </row>
    <row r="136" spans="1:4" x14ac:dyDescent="0.25">
      <c r="A136" s="73" t="s">
        <v>6</v>
      </c>
      <c r="B136" s="71" t="s">
        <v>98</v>
      </c>
      <c r="C136" s="17">
        <f>SUM(C137:C142)</f>
        <v>8.6499999999999994E-2</v>
      </c>
      <c r="D136" s="14">
        <f>(D154+D134+D135)*C136/(1-C136)</f>
        <v>512.38718842436788</v>
      </c>
    </row>
    <row r="137" spans="1:4" x14ac:dyDescent="0.25">
      <c r="A137" s="73"/>
      <c r="B137" s="71" t="s">
        <v>99</v>
      </c>
      <c r="C137" s="20"/>
      <c r="D137" s="23">
        <f t="shared" ref="D137:D142" si="2">$D$156*C137</f>
        <v>0</v>
      </c>
    </row>
    <row r="138" spans="1:4" x14ac:dyDescent="0.25">
      <c r="A138" s="73"/>
      <c r="B138" s="71" t="s">
        <v>100</v>
      </c>
      <c r="C138" s="20">
        <v>6.4999999999999997E-3</v>
      </c>
      <c r="D138" s="23">
        <f t="shared" si="2"/>
        <v>38.503083523218386</v>
      </c>
    </row>
    <row r="139" spans="1:4" x14ac:dyDescent="0.25">
      <c r="A139" s="73"/>
      <c r="B139" s="71" t="s">
        <v>101</v>
      </c>
      <c r="C139" s="20">
        <v>0.03</v>
      </c>
      <c r="D139" s="23">
        <f t="shared" si="2"/>
        <v>177.70653933793102</v>
      </c>
    </row>
    <row r="140" spans="1:4" x14ac:dyDescent="0.25">
      <c r="A140" s="73"/>
      <c r="B140" s="71" t="s">
        <v>102</v>
      </c>
      <c r="C140" s="73"/>
      <c r="D140" s="23">
        <f t="shared" si="2"/>
        <v>0</v>
      </c>
    </row>
    <row r="141" spans="1:4" x14ac:dyDescent="0.25">
      <c r="A141" s="73"/>
      <c r="B141" s="71" t="s">
        <v>103</v>
      </c>
      <c r="C141" s="20"/>
      <c r="D141" s="23">
        <f t="shared" si="2"/>
        <v>0</v>
      </c>
    </row>
    <row r="142" spans="1:4" x14ac:dyDescent="0.25">
      <c r="A142" s="73"/>
      <c r="B142" s="71" t="s">
        <v>104</v>
      </c>
      <c r="C142" s="20">
        <v>0.05</v>
      </c>
      <c r="D142" s="23">
        <f t="shared" si="2"/>
        <v>296.17756556321837</v>
      </c>
    </row>
    <row r="143" spans="1:4" ht="13.5" customHeight="1" x14ac:dyDescent="0.25">
      <c r="A143" s="116" t="s">
        <v>56</v>
      </c>
      <c r="B143" s="116"/>
      <c r="C143" s="29">
        <f>ROUND((1+C135)*(1+C134)/(1-C136)-1,4)</f>
        <v>0.21840000000000001</v>
      </c>
      <c r="D143" s="19">
        <f>SUM(D134:D136)</f>
        <v>1061.7686312643677</v>
      </c>
    </row>
    <row r="146" spans="1:4" x14ac:dyDescent="0.25">
      <c r="A146" s="105" t="s">
        <v>105</v>
      </c>
      <c r="B146" s="105"/>
      <c r="C146" s="105"/>
      <c r="D146" s="105"/>
    </row>
    <row r="148" spans="1:4" ht="12.75" customHeight="1" x14ac:dyDescent="0.25">
      <c r="A148" s="70"/>
      <c r="B148" s="110" t="s">
        <v>106</v>
      </c>
      <c r="C148" s="110"/>
      <c r="D148" s="70" t="s">
        <v>26</v>
      </c>
    </row>
    <row r="149" spans="1:4" ht="12.75" customHeight="1" x14ac:dyDescent="0.25">
      <c r="A149" s="70" t="s">
        <v>2</v>
      </c>
      <c r="B149" s="111" t="s">
        <v>24</v>
      </c>
      <c r="C149" s="111"/>
      <c r="D149" s="30">
        <f>D33</f>
        <v>2385.9748800000002</v>
      </c>
    </row>
    <row r="150" spans="1:4" ht="12.75" customHeight="1" x14ac:dyDescent="0.25">
      <c r="A150" s="70" t="s">
        <v>4</v>
      </c>
      <c r="B150" s="111" t="s">
        <v>36</v>
      </c>
      <c r="C150" s="111"/>
      <c r="D150" s="30">
        <f>D76</f>
        <v>2072.3378000000002</v>
      </c>
    </row>
    <row r="151" spans="1:4" ht="12.75" customHeight="1" x14ac:dyDescent="0.25">
      <c r="A151" s="70" t="s">
        <v>6</v>
      </c>
      <c r="B151" s="111" t="s">
        <v>65</v>
      </c>
      <c r="C151" s="111"/>
      <c r="D151" s="30">
        <f>D88</f>
        <v>146.94999999999999</v>
      </c>
    </row>
    <row r="152" spans="1:4" ht="12.75" customHeight="1" x14ac:dyDescent="0.25">
      <c r="A152" s="70" t="s">
        <v>8</v>
      </c>
      <c r="B152" s="111" t="s">
        <v>73</v>
      </c>
      <c r="C152" s="111"/>
      <c r="D152" s="30">
        <f>D118</f>
        <v>88.9</v>
      </c>
    </row>
    <row r="153" spans="1:4" ht="12.75" customHeight="1" x14ac:dyDescent="0.25">
      <c r="A153" s="70" t="s">
        <v>31</v>
      </c>
      <c r="B153" s="111" t="s">
        <v>89</v>
      </c>
      <c r="C153" s="111"/>
      <c r="D153" s="30">
        <f>D128</f>
        <v>167.62</v>
      </c>
    </row>
    <row r="154" spans="1:4" ht="12.75" customHeight="1" x14ac:dyDescent="0.25">
      <c r="A154" s="110" t="s">
        <v>107</v>
      </c>
      <c r="B154" s="110"/>
      <c r="C154" s="110"/>
      <c r="D154" s="31">
        <f>SUM(D149:D153)</f>
        <v>4861.7826800000003</v>
      </c>
    </row>
    <row r="155" spans="1:4" ht="12.75" customHeight="1" x14ac:dyDescent="0.25">
      <c r="A155" s="70" t="s">
        <v>51</v>
      </c>
      <c r="B155" s="111" t="s">
        <v>108</v>
      </c>
      <c r="C155" s="111"/>
      <c r="D155" s="32">
        <f>D143</f>
        <v>1061.7686312643677</v>
      </c>
    </row>
    <row r="156" spans="1:4" ht="12.75" customHeight="1" x14ac:dyDescent="0.25">
      <c r="A156" s="110" t="s">
        <v>109</v>
      </c>
      <c r="B156" s="110"/>
      <c r="C156" s="110"/>
      <c r="D156" s="31">
        <f>SUM(D154:D155)</f>
        <v>5923.5513112643675</v>
      </c>
    </row>
  </sheetData>
  <mergeCells count="71">
    <mergeCell ref="B152:C152"/>
    <mergeCell ref="B153:C153"/>
    <mergeCell ref="A154:C154"/>
    <mergeCell ref="B155:C155"/>
    <mergeCell ref="A156:C156"/>
    <mergeCell ref="B151:C151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B116:C116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81:C81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63:C63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30:C30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A15:D15"/>
    <mergeCell ref="A1:D1"/>
    <mergeCell ref="A3:D3"/>
    <mergeCell ref="A10:D10"/>
    <mergeCell ref="A12:B12"/>
    <mergeCell ref="A13:B13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6"/>
  <sheetViews>
    <sheetView zoomScale="115" zoomScaleNormal="115" workbookViewId="0">
      <selection activeCell="G23" sqref="G23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104" t="s">
        <v>0</v>
      </c>
      <c r="B1" s="104"/>
      <c r="C1" s="104"/>
      <c r="D1" s="104"/>
    </row>
    <row r="2" spans="1:4" ht="15.75" x14ac:dyDescent="0.25">
      <c r="A2" s="2"/>
      <c r="B2" s="2"/>
      <c r="C2" s="2"/>
      <c r="D2" s="2"/>
    </row>
    <row r="3" spans="1:4" x14ac:dyDescent="0.25">
      <c r="A3" s="105" t="s">
        <v>1</v>
      </c>
      <c r="B3" s="105"/>
      <c r="C3" s="105"/>
      <c r="D3" s="105"/>
    </row>
    <row r="4" spans="1:4" x14ac:dyDescent="0.25">
      <c r="A4" s="3"/>
      <c r="B4" s="3"/>
      <c r="C4" s="3"/>
      <c r="D4" s="3"/>
    </row>
    <row r="5" spans="1:4" x14ac:dyDescent="0.25">
      <c r="A5" s="4" t="s">
        <v>2</v>
      </c>
      <c r="B5" s="5" t="s">
        <v>3</v>
      </c>
      <c r="C5" s="6"/>
      <c r="D5" s="7"/>
    </row>
    <row r="6" spans="1:4" x14ac:dyDescent="0.25">
      <c r="A6" s="4" t="s">
        <v>4</v>
      </c>
      <c r="B6" s="5" t="s">
        <v>5</v>
      </c>
      <c r="C6" s="6"/>
      <c r="D6" s="7"/>
    </row>
    <row r="7" spans="1:4" x14ac:dyDescent="0.25">
      <c r="A7" s="4" t="s">
        <v>6</v>
      </c>
      <c r="B7" s="5" t="s">
        <v>7</v>
      </c>
      <c r="C7" s="6"/>
      <c r="D7" s="7"/>
    </row>
    <row r="8" spans="1:4" x14ac:dyDescent="0.25">
      <c r="A8" s="4" t="s">
        <v>8</v>
      </c>
      <c r="B8" s="5" t="s">
        <v>9</v>
      </c>
      <c r="C8" s="6"/>
      <c r="D8" s="7">
        <v>24</v>
      </c>
    </row>
    <row r="10" spans="1:4" x14ac:dyDescent="0.25">
      <c r="A10" s="105" t="s">
        <v>10</v>
      </c>
      <c r="B10" s="105"/>
      <c r="C10" s="105"/>
      <c r="D10" s="105"/>
    </row>
    <row r="11" spans="1:4" x14ac:dyDescent="0.25">
      <c r="A11" s="3"/>
      <c r="B11" s="3"/>
      <c r="C11" s="3"/>
      <c r="D11" s="3"/>
    </row>
    <row r="12" spans="1:4" ht="38.25" customHeight="1" x14ac:dyDescent="0.25">
      <c r="A12" s="106" t="s">
        <v>11</v>
      </c>
      <c r="B12" s="106"/>
      <c r="C12" s="8" t="s">
        <v>12</v>
      </c>
      <c r="D12" s="9" t="s">
        <v>13</v>
      </c>
    </row>
    <row r="13" spans="1:4" s="11" customFormat="1" ht="12.75" x14ac:dyDescent="0.2">
      <c r="A13" s="107" t="s">
        <v>194</v>
      </c>
      <c r="B13" s="107"/>
      <c r="C13" s="10" t="s">
        <v>15</v>
      </c>
      <c r="D13" s="10">
        <v>1</v>
      </c>
    </row>
    <row r="15" spans="1:4" x14ac:dyDescent="0.25">
      <c r="A15" s="105" t="s">
        <v>16</v>
      </c>
      <c r="B15" s="105"/>
      <c r="C15" s="105"/>
      <c r="D15" s="105"/>
    </row>
    <row r="16" spans="1:4" x14ac:dyDescent="0.25">
      <c r="A16" s="3"/>
      <c r="B16" s="3"/>
      <c r="C16" s="3"/>
      <c r="D16" s="3"/>
    </row>
    <row r="17" spans="1:4" x14ac:dyDescent="0.25">
      <c r="A17" s="4">
        <v>1</v>
      </c>
      <c r="B17" s="4" t="s">
        <v>17</v>
      </c>
      <c r="C17" s="108" t="s">
        <v>132</v>
      </c>
      <c r="D17" s="108"/>
    </row>
    <row r="18" spans="1:4" x14ac:dyDescent="0.25">
      <c r="A18" s="4">
        <v>2</v>
      </c>
      <c r="B18" s="4" t="s">
        <v>19</v>
      </c>
      <c r="C18" s="108" t="s">
        <v>133</v>
      </c>
      <c r="D18" s="108"/>
    </row>
    <row r="19" spans="1:4" x14ac:dyDescent="0.25">
      <c r="A19" s="4">
        <v>3</v>
      </c>
      <c r="B19" s="4" t="s">
        <v>21</v>
      </c>
      <c r="C19" s="108">
        <v>2229.58</v>
      </c>
      <c r="D19" s="108"/>
    </row>
    <row r="20" spans="1:4" x14ac:dyDescent="0.25">
      <c r="A20" s="4">
        <v>4</v>
      </c>
      <c r="B20" s="4" t="s">
        <v>22</v>
      </c>
      <c r="C20" s="108"/>
      <c r="D20" s="108"/>
    </row>
    <row r="21" spans="1:4" x14ac:dyDescent="0.25">
      <c r="A21" s="4">
        <v>5</v>
      </c>
      <c r="B21" s="4" t="s">
        <v>23</v>
      </c>
      <c r="C21" s="108"/>
      <c r="D21" s="108"/>
    </row>
    <row r="23" spans="1:4" x14ac:dyDescent="0.25">
      <c r="A23" s="105" t="s">
        <v>24</v>
      </c>
      <c r="B23" s="105"/>
      <c r="C23" s="105"/>
      <c r="D23" s="105"/>
    </row>
    <row r="25" spans="1:4" ht="12.75" customHeight="1" x14ac:dyDescent="0.25">
      <c r="A25" s="12">
        <v>1</v>
      </c>
      <c r="B25" s="110" t="s">
        <v>25</v>
      </c>
      <c r="C25" s="110"/>
      <c r="D25" s="12" t="s">
        <v>26</v>
      </c>
    </row>
    <row r="26" spans="1:4" ht="12.75" customHeight="1" x14ac:dyDescent="0.25">
      <c r="A26" s="8" t="s">
        <v>2</v>
      </c>
      <c r="B26" s="111" t="s">
        <v>27</v>
      </c>
      <c r="C26" s="111"/>
      <c r="D26" s="14">
        <v>2229.58</v>
      </c>
    </row>
    <row r="27" spans="1:4" ht="12.75" customHeight="1" x14ac:dyDescent="0.25">
      <c r="A27" s="8" t="s">
        <v>4</v>
      </c>
      <c r="B27" s="111" t="s">
        <v>28</v>
      </c>
      <c r="C27" s="111"/>
      <c r="D27" s="14"/>
    </row>
    <row r="28" spans="1:4" ht="12.75" customHeight="1" x14ac:dyDescent="0.25">
      <c r="A28" s="8" t="s">
        <v>6</v>
      </c>
      <c r="B28" s="111" t="s">
        <v>29</v>
      </c>
      <c r="C28" s="111"/>
      <c r="D28" s="14">
        <f>D26*0.2</f>
        <v>445.916</v>
      </c>
    </row>
    <row r="29" spans="1:4" ht="12.75" customHeight="1" x14ac:dyDescent="0.25">
      <c r="A29" s="8" t="s">
        <v>8</v>
      </c>
      <c r="B29" s="111" t="s">
        <v>30</v>
      </c>
      <c r="C29" s="111"/>
      <c r="D29" s="14">
        <f>8*22*((D26+D28)/220)*0.4</f>
        <v>856.15872000000002</v>
      </c>
    </row>
    <row r="30" spans="1:4" ht="12.75" customHeight="1" x14ac:dyDescent="0.25">
      <c r="A30" s="8" t="s">
        <v>31</v>
      </c>
      <c r="B30" s="111" t="s">
        <v>32</v>
      </c>
      <c r="C30" s="111"/>
      <c r="D30" s="14">
        <f>22*((D26+D28)/220)</f>
        <v>267.5496</v>
      </c>
    </row>
    <row r="31" spans="1:4" x14ac:dyDescent="0.25">
      <c r="A31" s="8"/>
      <c r="B31" s="111"/>
      <c r="C31" s="111"/>
      <c r="D31" s="14"/>
    </row>
    <row r="32" spans="1:4" ht="12.75" customHeight="1" x14ac:dyDescent="0.25">
      <c r="A32" s="8" t="s">
        <v>33</v>
      </c>
      <c r="B32" s="111" t="s">
        <v>34</v>
      </c>
      <c r="C32" s="111"/>
      <c r="D32" s="14"/>
    </row>
    <row r="33" spans="1:4" ht="12.75" customHeight="1" x14ac:dyDescent="0.25">
      <c r="A33" s="110" t="s">
        <v>35</v>
      </c>
      <c r="B33" s="110"/>
      <c r="C33" s="110"/>
      <c r="D33" s="15">
        <f>SUM(D26:D32)</f>
        <v>3799.2043199999998</v>
      </c>
    </row>
    <row r="36" spans="1:4" x14ac:dyDescent="0.25">
      <c r="A36" s="105" t="s">
        <v>36</v>
      </c>
      <c r="B36" s="105"/>
      <c r="C36" s="105"/>
      <c r="D36" s="105"/>
    </row>
    <row r="37" spans="1:4" x14ac:dyDescent="0.25">
      <c r="A37" s="16"/>
    </row>
    <row r="38" spans="1:4" x14ac:dyDescent="0.25">
      <c r="A38" s="112" t="s">
        <v>37</v>
      </c>
      <c r="B38" s="112"/>
      <c r="C38" s="112"/>
      <c r="D38" s="112"/>
    </row>
    <row r="40" spans="1:4" ht="12.75" customHeight="1" x14ac:dyDescent="0.25">
      <c r="A40" s="12" t="s">
        <v>38</v>
      </c>
      <c r="B40" s="110" t="s">
        <v>39</v>
      </c>
      <c r="C40" s="110"/>
      <c r="D40" s="12" t="s">
        <v>26</v>
      </c>
    </row>
    <row r="41" spans="1:4" x14ac:dyDescent="0.25">
      <c r="A41" s="8" t="s">
        <v>2</v>
      </c>
      <c r="B41" s="13" t="s">
        <v>40</v>
      </c>
      <c r="C41" s="17">
        <f>TRUNC(1/12,4)</f>
        <v>8.3299999999999999E-2</v>
      </c>
      <c r="D41" s="14">
        <f>TRUNC($D$33*C41,2)</f>
        <v>316.47000000000003</v>
      </c>
    </row>
    <row r="42" spans="1:4" x14ac:dyDescent="0.25">
      <c r="A42" s="8" t="s">
        <v>4</v>
      </c>
      <c r="B42" s="13" t="s">
        <v>41</v>
      </c>
      <c r="C42" s="17">
        <f>TRUNC(((1+1/3)/12),4)</f>
        <v>0.1111</v>
      </c>
      <c r="D42" s="14">
        <f>TRUNC($D$33*C42,2)</f>
        <v>422.09</v>
      </c>
    </row>
    <row r="43" spans="1:4" ht="12.75" customHeight="1" x14ac:dyDescent="0.25">
      <c r="A43" s="110" t="s">
        <v>35</v>
      </c>
      <c r="B43" s="110"/>
      <c r="C43" s="18">
        <f>SUM(C41:C42)</f>
        <v>0.19440000000000002</v>
      </c>
      <c r="D43" s="19">
        <f>SUM(D41:D42)</f>
        <v>738.56</v>
      </c>
    </row>
    <row r="46" spans="1:4" ht="12.75" customHeight="1" x14ac:dyDescent="0.25">
      <c r="A46" s="113" t="s">
        <v>42</v>
      </c>
      <c r="B46" s="113"/>
      <c r="C46" s="113"/>
      <c r="D46" s="113"/>
    </row>
    <row r="48" spans="1:4" x14ac:dyDescent="0.25">
      <c r="A48" s="12" t="s">
        <v>43</v>
      </c>
      <c r="B48" s="12" t="s">
        <v>44</v>
      </c>
      <c r="C48" s="12" t="s">
        <v>45</v>
      </c>
      <c r="D48" s="12" t="s">
        <v>26</v>
      </c>
    </row>
    <row r="49" spans="1:4" x14ac:dyDescent="0.25">
      <c r="A49" s="8" t="s">
        <v>2</v>
      </c>
      <c r="B49" s="13" t="s">
        <v>46</v>
      </c>
      <c r="C49" s="20">
        <v>0.2</v>
      </c>
      <c r="D49" s="14">
        <f t="shared" ref="D49:D56" si="0">TRUNC(($D$33+$D$43)*C49,2)</f>
        <v>907.55</v>
      </c>
    </row>
    <row r="50" spans="1:4" x14ac:dyDescent="0.25">
      <c r="A50" s="8" t="s">
        <v>4</v>
      </c>
      <c r="B50" s="13" t="s">
        <v>47</v>
      </c>
      <c r="C50" s="20">
        <v>2.5000000000000001E-2</v>
      </c>
      <c r="D50" s="14">
        <f t="shared" si="0"/>
        <v>113.44</v>
      </c>
    </row>
    <row r="51" spans="1:4" x14ac:dyDescent="0.25">
      <c r="A51" s="8" t="s">
        <v>6</v>
      </c>
      <c r="B51" s="13" t="s">
        <v>48</v>
      </c>
      <c r="C51" s="21">
        <v>0.03</v>
      </c>
      <c r="D51" s="14">
        <f t="shared" si="0"/>
        <v>136.13</v>
      </c>
    </row>
    <row r="52" spans="1:4" x14ac:dyDescent="0.25">
      <c r="A52" s="8" t="s">
        <v>8</v>
      </c>
      <c r="B52" s="13" t="s">
        <v>49</v>
      </c>
      <c r="C52" s="20">
        <v>1.4999999999999999E-2</v>
      </c>
      <c r="D52" s="14">
        <f t="shared" si="0"/>
        <v>68.06</v>
      </c>
    </row>
    <row r="53" spans="1:4" x14ac:dyDescent="0.25">
      <c r="A53" s="8" t="s">
        <v>31</v>
      </c>
      <c r="B53" s="13" t="s">
        <v>50</v>
      </c>
      <c r="C53" s="20">
        <v>0.01</v>
      </c>
      <c r="D53" s="14">
        <f t="shared" si="0"/>
        <v>45.37</v>
      </c>
    </row>
    <row r="54" spans="1:4" x14ac:dyDescent="0.25">
      <c r="A54" s="8" t="s">
        <v>51</v>
      </c>
      <c r="B54" s="13" t="s">
        <v>52</v>
      </c>
      <c r="C54" s="20">
        <v>6.0000000000000001E-3</v>
      </c>
      <c r="D54" s="14">
        <f t="shared" si="0"/>
        <v>27.22</v>
      </c>
    </row>
    <row r="55" spans="1:4" x14ac:dyDescent="0.25">
      <c r="A55" s="8" t="s">
        <v>33</v>
      </c>
      <c r="B55" s="13" t="s">
        <v>53</v>
      </c>
      <c r="C55" s="20">
        <v>2E-3</v>
      </c>
      <c r="D55" s="14">
        <f t="shared" si="0"/>
        <v>9.07</v>
      </c>
    </row>
    <row r="56" spans="1:4" x14ac:dyDescent="0.25">
      <c r="A56" s="8" t="s">
        <v>54</v>
      </c>
      <c r="B56" s="13" t="s">
        <v>55</v>
      </c>
      <c r="C56" s="20">
        <v>0.08</v>
      </c>
      <c r="D56" s="14">
        <f t="shared" si="0"/>
        <v>363.02</v>
      </c>
    </row>
    <row r="57" spans="1:4" ht="12.75" customHeight="1" x14ac:dyDescent="0.25">
      <c r="A57" s="110" t="s">
        <v>56</v>
      </c>
      <c r="B57" s="110"/>
      <c r="C57" s="22">
        <f>SUM(C49:C56)</f>
        <v>0.36800000000000005</v>
      </c>
      <c r="D57" s="19">
        <f>SUM(D49:D56)</f>
        <v>1669.8599999999997</v>
      </c>
    </row>
    <row r="60" spans="1:4" x14ac:dyDescent="0.25">
      <c r="A60" s="112" t="s">
        <v>57</v>
      </c>
      <c r="B60" s="112"/>
      <c r="C60" s="112"/>
      <c r="D60" s="112"/>
    </row>
    <row r="62" spans="1:4" ht="12.75" customHeight="1" x14ac:dyDescent="0.25">
      <c r="A62" s="12" t="s">
        <v>58</v>
      </c>
      <c r="B62" s="114" t="s">
        <v>59</v>
      </c>
      <c r="C62" s="114"/>
      <c r="D62" s="12" t="s">
        <v>26</v>
      </c>
    </row>
    <row r="63" spans="1:4" ht="12.75" customHeight="1" x14ac:dyDescent="0.25">
      <c r="A63" s="8" t="s">
        <v>2</v>
      </c>
      <c r="B63" s="111" t="s">
        <v>60</v>
      </c>
      <c r="C63" s="111"/>
      <c r="D63" s="14">
        <f>IF((22*2*4.9)&gt;(D26*0.06),(22*2*4.9)-(D26*0.06),0)</f>
        <v>81.825200000000024</v>
      </c>
    </row>
    <row r="64" spans="1:4" ht="12.75" customHeight="1" x14ac:dyDescent="0.25">
      <c r="A64" s="8" t="s">
        <v>4</v>
      </c>
      <c r="B64" s="111" t="s">
        <v>61</v>
      </c>
      <c r="C64" s="111"/>
      <c r="D64" s="14">
        <f>22*20.49*0.95</f>
        <v>428.24099999999993</v>
      </c>
    </row>
    <row r="65" spans="1:5" ht="12.75" customHeight="1" x14ac:dyDescent="0.25">
      <c r="A65" s="8" t="s">
        <v>6</v>
      </c>
      <c r="B65" s="111" t="s">
        <v>62</v>
      </c>
      <c r="C65" s="111"/>
      <c r="D65" s="14"/>
    </row>
    <row r="66" spans="1:5" ht="12.75" customHeight="1" x14ac:dyDescent="0.25">
      <c r="A66" s="8" t="s">
        <v>8</v>
      </c>
      <c r="B66" s="111" t="s">
        <v>34</v>
      </c>
      <c r="C66" s="111"/>
      <c r="D66" s="14"/>
    </row>
    <row r="67" spans="1:5" ht="12.75" customHeight="1" x14ac:dyDescent="0.25">
      <c r="A67" s="110" t="s">
        <v>35</v>
      </c>
      <c r="B67" s="110"/>
      <c r="C67" s="110"/>
      <c r="D67" s="19">
        <f>SUM(D63:D66)</f>
        <v>510.06619999999998</v>
      </c>
    </row>
    <row r="70" spans="1:5" x14ac:dyDescent="0.25">
      <c r="A70" s="112" t="s">
        <v>63</v>
      </c>
      <c r="B70" s="112"/>
      <c r="C70" s="112"/>
      <c r="D70" s="112"/>
    </row>
    <row r="72" spans="1:5" ht="12.75" customHeight="1" x14ac:dyDescent="0.25">
      <c r="A72" s="12">
        <v>2</v>
      </c>
      <c r="B72" s="114" t="s">
        <v>64</v>
      </c>
      <c r="C72" s="114"/>
      <c r="D72" s="12" t="s">
        <v>26</v>
      </c>
    </row>
    <row r="73" spans="1:5" ht="12.75" customHeight="1" x14ac:dyDescent="0.25">
      <c r="A73" s="8" t="s">
        <v>38</v>
      </c>
      <c r="B73" s="111" t="s">
        <v>39</v>
      </c>
      <c r="C73" s="111"/>
      <c r="D73" s="23">
        <f>D43</f>
        <v>738.56</v>
      </c>
    </row>
    <row r="74" spans="1:5" ht="12.75" customHeight="1" x14ac:dyDescent="0.25">
      <c r="A74" s="8" t="s">
        <v>43</v>
      </c>
      <c r="B74" s="111" t="s">
        <v>44</v>
      </c>
      <c r="C74" s="111"/>
      <c r="D74" s="23">
        <f>D57</f>
        <v>1669.8599999999997</v>
      </c>
    </row>
    <row r="75" spans="1:5" ht="12.75" customHeight="1" x14ac:dyDescent="0.25">
      <c r="A75" s="8" t="s">
        <v>58</v>
      </c>
      <c r="B75" s="111" t="s">
        <v>59</v>
      </c>
      <c r="C75" s="111"/>
      <c r="D75" s="23">
        <f>D67</f>
        <v>510.06619999999998</v>
      </c>
    </row>
    <row r="76" spans="1:5" ht="12.75" customHeight="1" x14ac:dyDescent="0.25">
      <c r="A76" s="110" t="s">
        <v>35</v>
      </c>
      <c r="B76" s="110"/>
      <c r="C76" s="110"/>
      <c r="D76" s="19">
        <f>SUM(D73:D75)</f>
        <v>2918.4861999999994</v>
      </c>
    </row>
    <row r="77" spans="1:5" x14ac:dyDescent="0.25">
      <c r="A77" s="24"/>
      <c r="E77" s="25"/>
    </row>
    <row r="79" spans="1:5" x14ac:dyDescent="0.25">
      <c r="A79" s="105" t="s">
        <v>65</v>
      </c>
      <c r="B79" s="105"/>
      <c r="C79" s="105"/>
      <c r="D79" s="105"/>
      <c r="E79" s="26"/>
    </row>
    <row r="80" spans="1:5" ht="12.75" customHeight="1" x14ac:dyDescent="0.25">
      <c r="E80" s="25"/>
    </row>
    <row r="81" spans="1:4" ht="12.75" customHeight="1" x14ac:dyDescent="0.25">
      <c r="A81" s="12">
        <v>3</v>
      </c>
      <c r="B81" s="114" t="s">
        <v>66</v>
      </c>
      <c r="C81" s="114"/>
      <c r="D81" s="12" t="s">
        <v>26</v>
      </c>
    </row>
    <row r="82" spans="1:4" x14ac:dyDescent="0.25">
      <c r="A82" s="8" t="s">
        <v>2</v>
      </c>
      <c r="B82" s="27" t="s">
        <v>67</v>
      </c>
      <c r="C82" s="20">
        <f>TRUNC(((1/12)*5%),4)</f>
        <v>4.1000000000000003E-3</v>
      </c>
      <c r="D82" s="14">
        <f>TRUNC($D$33*C82,2)</f>
        <v>15.57</v>
      </c>
    </row>
    <row r="83" spans="1:4" x14ac:dyDescent="0.25">
      <c r="A83" s="8" t="s">
        <v>4</v>
      </c>
      <c r="B83" s="27" t="s">
        <v>68</v>
      </c>
      <c r="C83" s="20">
        <v>0.08</v>
      </c>
      <c r="D83" s="14">
        <f>TRUNC(D82*C83,2)</f>
        <v>1.24</v>
      </c>
    </row>
    <row r="84" spans="1:4" x14ac:dyDescent="0.25">
      <c r="A84" s="8" t="s">
        <v>6</v>
      </c>
      <c r="B84" s="27" t="s">
        <v>69</v>
      </c>
      <c r="C84" s="20">
        <f>TRUNC(8%*5%*40%,4)</f>
        <v>1.6000000000000001E-3</v>
      </c>
      <c r="D84" s="14">
        <f>TRUNC($D$33*C84,2)</f>
        <v>6.07</v>
      </c>
    </row>
    <row r="85" spans="1:4" x14ac:dyDescent="0.25">
      <c r="A85" s="8" t="s">
        <v>8</v>
      </c>
      <c r="B85" s="27" t="s">
        <v>70</v>
      </c>
      <c r="C85" s="20">
        <f>TRUNC(((7/30)/12)*95%,4)</f>
        <v>1.84E-2</v>
      </c>
      <c r="D85" s="14">
        <f>TRUNC($D$33*C85,2)</f>
        <v>69.900000000000006</v>
      </c>
    </row>
    <row r="86" spans="1:4" ht="25.5" x14ac:dyDescent="0.25">
      <c r="A86" s="8" t="s">
        <v>31</v>
      </c>
      <c r="B86" s="27" t="s">
        <v>71</v>
      </c>
      <c r="C86" s="20">
        <f>C57</f>
        <v>0.36800000000000005</v>
      </c>
      <c r="D86" s="14">
        <f>TRUNC(D85*C86,2)</f>
        <v>25.72</v>
      </c>
    </row>
    <row r="87" spans="1:4" x14ac:dyDescent="0.25">
      <c r="A87" s="8" t="s">
        <v>51</v>
      </c>
      <c r="B87" s="27" t="s">
        <v>72</v>
      </c>
      <c r="C87" s="20">
        <f>TRUNC(8%*95%*40%,4)</f>
        <v>3.04E-2</v>
      </c>
      <c r="D87" s="14">
        <f>TRUNC($D$33*C87,2)</f>
        <v>115.49</v>
      </c>
    </row>
    <row r="88" spans="1:4" ht="12.75" customHeight="1" x14ac:dyDescent="0.25">
      <c r="A88" s="110" t="s">
        <v>35</v>
      </c>
      <c r="B88" s="110"/>
      <c r="C88" s="110"/>
      <c r="D88" s="19">
        <f>SUM(D82:D87)</f>
        <v>233.99</v>
      </c>
    </row>
    <row r="91" spans="1:4" x14ac:dyDescent="0.25">
      <c r="A91" s="105" t="s">
        <v>73</v>
      </c>
      <c r="B91" s="105"/>
      <c r="C91" s="105"/>
      <c r="D91" s="105"/>
    </row>
    <row r="94" spans="1:4" x14ac:dyDescent="0.25">
      <c r="A94" s="112" t="s">
        <v>74</v>
      </c>
      <c r="B94" s="112"/>
      <c r="C94" s="112"/>
      <c r="D94" s="112"/>
    </row>
    <row r="95" spans="1:4" x14ac:dyDescent="0.25">
      <c r="A95" s="16"/>
    </row>
    <row r="96" spans="1:4" ht="12.75" customHeight="1" x14ac:dyDescent="0.25">
      <c r="A96" s="12" t="s">
        <v>75</v>
      </c>
      <c r="B96" s="114" t="s">
        <v>76</v>
      </c>
      <c r="C96" s="114"/>
      <c r="D96" s="12" t="s">
        <v>26</v>
      </c>
    </row>
    <row r="97" spans="1:6" x14ac:dyDescent="0.25">
      <c r="A97" s="8" t="s">
        <v>2</v>
      </c>
      <c r="B97" s="13" t="s">
        <v>77</v>
      </c>
      <c r="C97" s="20">
        <f>TRUNC(((1+1/3)/12)/12,4)</f>
        <v>9.1999999999999998E-3</v>
      </c>
      <c r="D97" s="14">
        <f t="shared" ref="D97:D102" si="1">TRUNC(($D$33+$D$76+$D$88)*C97,2)</f>
        <v>63.95</v>
      </c>
    </row>
    <row r="98" spans="1:6" x14ac:dyDescent="0.25">
      <c r="A98" s="8" t="s">
        <v>4</v>
      </c>
      <c r="B98" s="13" t="s">
        <v>78</v>
      </c>
      <c r="C98" s="20">
        <f>TRUNC(((2/30)/12),4)</f>
        <v>5.4999999999999997E-3</v>
      </c>
      <c r="D98" s="14">
        <f t="shared" si="1"/>
        <v>38.229999999999997</v>
      </c>
    </row>
    <row r="99" spans="1:6" x14ac:dyDescent="0.25">
      <c r="A99" s="8" t="s">
        <v>6</v>
      </c>
      <c r="B99" s="13" t="s">
        <v>79</v>
      </c>
      <c r="C99" s="20">
        <f>TRUNC(((5/30)/12)*2%,4)</f>
        <v>2.0000000000000001E-4</v>
      </c>
      <c r="D99" s="14">
        <f t="shared" si="1"/>
        <v>1.39</v>
      </c>
    </row>
    <row r="100" spans="1:6" x14ac:dyDescent="0.25">
      <c r="A100" s="8" t="s">
        <v>8</v>
      </c>
      <c r="B100" s="13" t="s">
        <v>80</v>
      </c>
      <c r="C100" s="20">
        <f>TRUNC(((15/30)/12)*8%,4)</f>
        <v>3.3E-3</v>
      </c>
      <c r="D100" s="14">
        <f t="shared" si="1"/>
        <v>22.94</v>
      </c>
    </row>
    <row r="101" spans="1:6" x14ac:dyDescent="0.25">
      <c r="A101" s="8" t="s">
        <v>31</v>
      </c>
      <c r="B101" s="13" t="s">
        <v>81</v>
      </c>
      <c r="C101" s="20">
        <f>((1+1/3)/12)*3%*(4/12)</f>
        <v>1.1111111111111109E-3</v>
      </c>
      <c r="D101" s="14">
        <f t="shared" si="1"/>
        <v>7.72</v>
      </c>
    </row>
    <row r="102" spans="1:6" x14ac:dyDescent="0.25">
      <c r="A102" s="8" t="s">
        <v>51</v>
      </c>
      <c r="B102" s="13" t="s">
        <v>82</v>
      </c>
      <c r="C102" s="20"/>
      <c r="D102" s="14">
        <f t="shared" si="1"/>
        <v>0</v>
      </c>
    </row>
    <row r="103" spans="1:6" ht="12.75" customHeight="1" x14ac:dyDescent="0.25">
      <c r="A103" s="110" t="s">
        <v>56</v>
      </c>
      <c r="B103" s="110"/>
      <c r="C103" s="110"/>
      <c r="D103" s="19">
        <f>SUM(D97:D102)</f>
        <v>134.23000000000002</v>
      </c>
      <c r="E103" s="26"/>
      <c r="F103" s="26"/>
    </row>
    <row r="106" spans="1:6" x14ac:dyDescent="0.25">
      <c r="A106" s="112" t="s">
        <v>83</v>
      </c>
      <c r="B106" s="112"/>
      <c r="C106" s="112"/>
      <c r="D106" s="112"/>
    </row>
    <row r="107" spans="1:6" x14ac:dyDescent="0.25">
      <c r="A107" s="16"/>
    </row>
    <row r="108" spans="1:6" ht="12.75" customHeight="1" x14ac:dyDescent="0.25">
      <c r="A108" s="12" t="s">
        <v>84</v>
      </c>
      <c r="B108" s="114" t="s">
        <v>85</v>
      </c>
      <c r="C108" s="114"/>
      <c r="D108" s="12" t="s">
        <v>26</v>
      </c>
    </row>
    <row r="109" spans="1:6" ht="12.75" customHeight="1" x14ac:dyDescent="0.25">
      <c r="A109" s="8" t="s">
        <v>2</v>
      </c>
      <c r="B109" s="111" t="s">
        <v>86</v>
      </c>
      <c r="C109" s="111"/>
      <c r="D109" s="14">
        <f>((D33+D76+D88)/220)*22*0</f>
        <v>0</v>
      </c>
    </row>
    <row r="110" spans="1:6" ht="12.75" customHeight="1" x14ac:dyDescent="0.25">
      <c r="A110" s="110" t="s">
        <v>35</v>
      </c>
      <c r="B110" s="110"/>
      <c r="C110" s="110"/>
      <c r="D110" s="19">
        <f>SUM(D109)</f>
        <v>0</v>
      </c>
    </row>
    <row r="113" spans="1:4" x14ac:dyDescent="0.25">
      <c r="A113" s="112" t="s">
        <v>87</v>
      </c>
      <c r="B113" s="112"/>
      <c r="C113" s="112"/>
      <c r="D113" s="112"/>
    </row>
    <row r="114" spans="1:4" x14ac:dyDescent="0.25">
      <c r="A114" s="16"/>
    </row>
    <row r="115" spans="1:4" ht="12.75" customHeight="1" x14ac:dyDescent="0.25">
      <c r="A115" s="12">
        <v>4</v>
      </c>
      <c r="B115" s="110" t="s">
        <v>88</v>
      </c>
      <c r="C115" s="110"/>
      <c r="D115" s="12" t="s">
        <v>26</v>
      </c>
    </row>
    <row r="116" spans="1:4" ht="12.75" customHeight="1" x14ac:dyDescent="0.25">
      <c r="A116" s="8" t="s">
        <v>75</v>
      </c>
      <c r="B116" s="111" t="s">
        <v>76</v>
      </c>
      <c r="C116" s="111"/>
      <c r="D116" s="23">
        <f>D103</f>
        <v>134.23000000000002</v>
      </c>
    </row>
    <row r="117" spans="1:4" ht="12.75" customHeight="1" x14ac:dyDescent="0.25">
      <c r="A117" s="8" t="s">
        <v>84</v>
      </c>
      <c r="B117" s="111" t="s">
        <v>85</v>
      </c>
      <c r="C117" s="111"/>
      <c r="D117" s="23">
        <f>D110</f>
        <v>0</v>
      </c>
    </row>
    <row r="118" spans="1:4" ht="12.75" customHeight="1" x14ac:dyDescent="0.25">
      <c r="A118" s="110" t="s">
        <v>35</v>
      </c>
      <c r="B118" s="110"/>
      <c r="C118" s="110"/>
      <c r="D118" s="19">
        <f>SUM(D116:D117)</f>
        <v>134.23000000000002</v>
      </c>
    </row>
    <row r="121" spans="1:4" x14ac:dyDescent="0.25">
      <c r="A121" s="105" t="s">
        <v>89</v>
      </c>
      <c r="B121" s="105"/>
      <c r="C121" s="105"/>
      <c r="D121" s="105"/>
    </row>
    <row r="123" spans="1:4" ht="12.75" customHeight="1" x14ac:dyDescent="0.25">
      <c r="A123" s="12">
        <v>5</v>
      </c>
      <c r="B123" s="115" t="s">
        <v>90</v>
      </c>
      <c r="C123" s="115"/>
      <c r="D123" s="12" t="s">
        <v>26</v>
      </c>
    </row>
    <row r="124" spans="1:4" x14ac:dyDescent="0.25">
      <c r="A124" s="8" t="s">
        <v>2</v>
      </c>
      <c r="B124" s="13" t="s">
        <v>91</v>
      </c>
      <c r="C124" s="13"/>
      <c r="D124" s="14">
        <v>66.040000000000006</v>
      </c>
    </row>
    <row r="125" spans="1:4" x14ac:dyDescent="0.25">
      <c r="A125" s="8" t="s">
        <v>4</v>
      </c>
      <c r="B125" s="13" t="s">
        <v>92</v>
      </c>
      <c r="C125" s="13"/>
      <c r="D125" s="14">
        <v>61.36</v>
      </c>
    </row>
    <row r="126" spans="1:4" x14ac:dyDescent="0.25">
      <c r="A126" s="8" t="s">
        <v>6</v>
      </c>
      <c r="B126" s="13" t="s">
        <v>93</v>
      </c>
      <c r="C126" s="13"/>
      <c r="D126" s="14">
        <v>40.22</v>
      </c>
    </row>
    <row r="127" spans="1:4" x14ac:dyDescent="0.25">
      <c r="A127" s="8" t="s">
        <v>8</v>
      </c>
      <c r="B127" s="13" t="s">
        <v>34</v>
      </c>
      <c r="C127" s="13"/>
      <c r="D127" s="14"/>
    </row>
    <row r="128" spans="1:4" ht="12.75" customHeight="1" x14ac:dyDescent="0.25">
      <c r="A128" s="110" t="s">
        <v>56</v>
      </c>
      <c r="B128" s="110"/>
      <c r="C128" s="110"/>
      <c r="D128" s="15">
        <f>SUM(D124:D127)</f>
        <v>167.62</v>
      </c>
    </row>
    <row r="131" spans="1:4" x14ac:dyDescent="0.25">
      <c r="A131" s="105" t="s">
        <v>94</v>
      </c>
      <c r="B131" s="105"/>
      <c r="C131" s="105"/>
      <c r="D131" s="105"/>
    </row>
    <row r="133" spans="1:4" x14ac:dyDescent="0.25">
      <c r="A133" s="12">
        <v>6</v>
      </c>
      <c r="B133" s="28" t="s">
        <v>95</v>
      </c>
      <c r="C133" s="12" t="s">
        <v>45</v>
      </c>
      <c r="D133" s="12" t="s">
        <v>26</v>
      </c>
    </row>
    <row r="134" spans="1:4" x14ac:dyDescent="0.25">
      <c r="A134" s="8" t="s">
        <v>2</v>
      </c>
      <c r="B134" s="13" t="s">
        <v>96</v>
      </c>
      <c r="C134" s="20">
        <v>0.05</v>
      </c>
      <c r="D134" s="23">
        <f>D154*C134</f>
        <v>362.67652599999997</v>
      </c>
    </row>
    <row r="135" spans="1:4" x14ac:dyDescent="0.25">
      <c r="A135" s="8" t="s">
        <v>4</v>
      </c>
      <c r="B135" s="13" t="s">
        <v>97</v>
      </c>
      <c r="C135" s="20">
        <v>0.06</v>
      </c>
      <c r="D135" s="14">
        <f>(D154+D134)*C135</f>
        <v>456.97242275999997</v>
      </c>
    </row>
    <row r="136" spans="1:4" x14ac:dyDescent="0.25">
      <c r="A136" s="8" t="s">
        <v>6</v>
      </c>
      <c r="B136" s="13" t="s">
        <v>98</v>
      </c>
      <c r="C136" s="17">
        <f>SUM(C137:C142)</f>
        <v>8.6499999999999994E-2</v>
      </c>
      <c r="D136" s="14">
        <f>(D154+D134+D135)*C136/(1-C136)</f>
        <v>764.45541767678151</v>
      </c>
    </row>
    <row r="137" spans="1:4" x14ac:dyDescent="0.25">
      <c r="A137" s="8"/>
      <c r="B137" s="13" t="s">
        <v>99</v>
      </c>
      <c r="C137" s="20"/>
      <c r="D137" s="23">
        <f t="shared" ref="D137:D142" si="2">$D$156*C137</f>
        <v>0</v>
      </c>
    </row>
    <row r="138" spans="1:4" x14ac:dyDescent="0.25">
      <c r="A138" s="8"/>
      <c r="B138" s="13" t="s">
        <v>100</v>
      </c>
      <c r="C138" s="20">
        <v>6.4999999999999997E-3</v>
      </c>
      <c r="D138" s="23">
        <f t="shared" si="2"/>
        <v>57.444626761839075</v>
      </c>
    </row>
    <row r="139" spans="1:4" x14ac:dyDescent="0.25">
      <c r="A139" s="8"/>
      <c r="B139" s="13" t="s">
        <v>101</v>
      </c>
      <c r="C139" s="20">
        <v>0.03</v>
      </c>
      <c r="D139" s="23">
        <f t="shared" si="2"/>
        <v>265.1290465931034</v>
      </c>
    </row>
    <row r="140" spans="1:4" x14ac:dyDescent="0.25">
      <c r="A140" s="8"/>
      <c r="B140" s="13" t="s">
        <v>102</v>
      </c>
      <c r="C140" s="65"/>
      <c r="D140" s="23">
        <f t="shared" si="2"/>
        <v>0</v>
      </c>
    </row>
    <row r="141" spans="1:4" x14ac:dyDescent="0.25">
      <c r="A141" s="8"/>
      <c r="B141" s="13" t="s">
        <v>103</v>
      </c>
      <c r="C141" s="20"/>
      <c r="D141" s="23">
        <f t="shared" si="2"/>
        <v>0</v>
      </c>
    </row>
    <row r="142" spans="1:4" x14ac:dyDescent="0.25">
      <c r="A142" s="8"/>
      <c r="B142" s="13" t="s">
        <v>104</v>
      </c>
      <c r="C142" s="20">
        <v>0.05</v>
      </c>
      <c r="D142" s="23">
        <f t="shared" si="2"/>
        <v>441.88174432183905</v>
      </c>
    </row>
    <row r="143" spans="1:4" ht="13.5" customHeight="1" x14ac:dyDescent="0.25">
      <c r="A143" s="116" t="s">
        <v>56</v>
      </c>
      <c r="B143" s="116"/>
      <c r="C143" s="29">
        <f>ROUND((1+C135)*(1+C134)/(1-C136)-1,4)</f>
        <v>0.21840000000000001</v>
      </c>
      <c r="D143" s="19">
        <f>SUM(D134:D136)</f>
        <v>1584.1043664367814</v>
      </c>
    </row>
    <row r="146" spans="1:4" x14ac:dyDescent="0.25">
      <c r="A146" s="105" t="s">
        <v>105</v>
      </c>
      <c r="B146" s="105"/>
      <c r="C146" s="105"/>
      <c r="D146" s="105"/>
    </row>
    <row r="148" spans="1:4" ht="12.75" customHeight="1" x14ac:dyDescent="0.25">
      <c r="A148" s="12"/>
      <c r="B148" s="110" t="s">
        <v>106</v>
      </c>
      <c r="C148" s="110"/>
      <c r="D148" s="12" t="s">
        <v>26</v>
      </c>
    </row>
    <row r="149" spans="1:4" ht="12.75" customHeight="1" x14ac:dyDescent="0.25">
      <c r="A149" s="12" t="s">
        <v>2</v>
      </c>
      <c r="B149" s="111" t="s">
        <v>24</v>
      </c>
      <c r="C149" s="111"/>
      <c r="D149" s="30">
        <f>D33</f>
        <v>3799.2043199999998</v>
      </c>
    </row>
    <row r="150" spans="1:4" ht="12.75" customHeight="1" x14ac:dyDescent="0.25">
      <c r="A150" s="12" t="s">
        <v>4</v>
      </c>
      <c r="B150" s="111" t="s">
        <v>36</v>
      </c>
      <c r="C150" s="111"/>
      <c r="D150" s="30">
        <f>D76</f>
        <v>2918.4861999999994</v>
      </c>
    </row>
    <row r="151" spans="1:4" ht="12.75" customHeight="1" x14ac:dyDescent="0.25">
      <c r="A151" s="12" t="s">
        <v>6</v>
      </c>
      <c r="B151" s="111" t="s">
        <v>65</v>
      </c>
      <c r="C151" s="111"/>
      <c r="D151" s="30">
        <f>D88</f>
        <v>233.99</v>
      </c>
    </row>
    <row r="152" spans="1:4" ht="12.75" customHeight="1" x14ac:dyDescent="0.25">
      <c r="A152" s="12" t="s">
        <v>8</v>
      </c>
      <c r="B152" s="111" t="s">
        <v>73</v>
      </c>
      <c r="C152" s="111"/>
      <c r="D152" s="30">
        <f>D118</f>
        <v>134.23000000000002</v>
      </c>
    </row>
    <row r="153" spans="1:4" ht="12.75" customHeight="1" x14ac:dyDescent="0.25">
      <c r="A153" s="12" t="s">
        <v>31</v>
      </c>
      <c r="B153" s="111" t="s">
        <v>89</v>
      </c>
      <c r="C153" s="111"/>
      <c r="D153" s="30">
        <f>D128</f>
        <v>167.62</v>
      </c>
    </row>
    <row r="154" spans="1:4" ht="12.75" customHeight="1" x14ac:dyDescent="0.25">
      <c r="A154" s="110" t="s">
        <v>107</v>
      </c>
      <c r="B154" s="110"/>
      <c r="C154" s="110"/>
      <c r="D154" s="31">
        <f>SUM(D149:D153)</f>
        <v>7253.5305199999993</v>
      </c>
    </row>
    <row r="155" spans="1:4" ht="12.75" customHeight="1" x14ac:dyDescent="0.25">
      <c r="A155" s="12" t="s">
        <v>51</v>
      </c>
      <c r="B155" s="111" t="s">
        <v>108</v>
      </c>
      <c r="C155" s="111"/>
      <c r="D155" s="32">
        <f>D143</f>
        <v>1584.1043664367814</v>
      </c>
    </row>
    <row r="156" spans="1:4" ht="12.75" customHeight="1" x14ac:dyDescent="0.25">
      <c r="A156" s="110" t="s">
        <v>109</v>
      </c>
      <c r="B156" s="110"/>
      <c r="C156" s="110"/>
      <c r="D156" s="31">
        <f>SUM(D154:D155)</f>
        <v>8837.634886436781</v>
      </c>
    </row>
  </sheetData>
  <mergeCells count="71">
    <mergeCell ref="A156:C156"/>
    <mergeCell ref="B151:C151"/>
    <mergeCell ref="B152:C152"/>
    <mergeCell ref="B153:C153"/>
    <mergeCell ref="A154:C154"/>
    <mergeCell ref="B155:C155"/>
    <mergeCell ref="A143:B143"/>
    <mergeCell ref="A146:D146"/>
    <mergeCell ref="B148:C148"/>
    <mergeCell ref="B149:C149"/>
    <mergeCell ref="B150:C150"/>
    <mergeCell ref="A118:C118"/>
    <mergeCell ref="A121:D121"/>
    <mergeCell ref="B123:C123"/>
    <mergeCell ref="A128:C128"/>
    <mergeCell ref="A131:D131"/>
    <mergeCell ref="A110:C110"/>
    <mergeCell ref="A113:D113"/>
    <mergeCell ref="B115:C115"/>
    <mergeCell ref="B116:C116"/>
    <mergeCell ref="B117:C117"/>
    <mergeCell ref="B96:C96"/>
    <mergeCell ref="A103:C103"/>
    <mergeCell ref="A106:D106"/>
    <mergeCell ref="B108:C108"/>
    <mergeCell ref="B109:C109"/>
    <mergeCell ref="A79:D79"/>
    <mergeCell ref="B81:C81"/>
    <mergeCell ref="A88:C88"/>
    <mergeCell ref="A91:D91"/>
    <mergeCell ref="A94:D94"/>
    <mergeCell ref="B72:C72"/>
    <mergeCell ref="B73:C73"/>
    <mergeCell ref="B74:C74"/>
    <mergeCell ref="B75:C75"/>
    <mergeCell ref="A76:C76"/>
    <mergeCell ref="B64:C64"/>
    <mergeCell ref="B65:C65"/>
    <mergeCell ref="B66:C66"/>
    <mergeCell ref="A67:C67"/>
    <mergeCell ref="A70:D70"/>
    <mergeCell ref="A46:D46"/>
    <mergeCell ref="A57:B57"/>
    <mergeCell ref="A60:D60"/>
    <mergeCell ref="B62:C62"/>
    <mergeCell ref="B63:C63"/>
    <mergeCell ref="A33:C33"/>
    <mergeCell ref="A36:D36"/>
    <mergeCell ref="A38:D38"/>
    <mergeCell ref="B40:C40"/>
    <mergeCell ref="A43:B43"/>
    <mergeCell ref="B28:C28"/>
    <mergeCell ref="B29:C29"/>
    <mergeCell ref="B30:C30"/>
    <mergeCell ref="B31:C31"/>
    <mergeCell ref="B32:C32"/>
    <mergeCell ref="C21:D21"/>
    <mergeCell ref="A23:D23"/>
    <mergeCell ref="B25:C25"/>
    <mergeCell ref="B26:C26"/>
    <mergeCell ref="B27:C27"/>
    <mergeCell ref="A15:D15"/>
    <mergeCell ref="C17:D17"/>
    <mergeCell ref="C18:D18"/>
    <mergeCell ref="C19:D19"/>
    <mergeCell ref="C20:D20"/>
    <mergeCell ref="A1:D1"/>
    <mergeCell ref="A3:D3"/>
    <mergeCell ref="A10:D10"/>
    <mergeCell ref="A12:B12"/>
    <mergeCell ref="A13:B13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6"/>
  <sheetViews>
    <sheetView tabSelected="1" zoomScale="115" zoomScaleNormal="115" workbookViewId="0">
      <selection activeCell="A15" sqref="A15:D15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s="1" customFormat="1" ht="15.75" x14ac:dyDescent="0.25">
      <c r="A1" s="104" t="s">
        <v>0</v>
      </c>
      <c r="B1" s="104"/>
      <c r="C1" s="104"/>
      <c r="D1" s="104"/>
    </row>
    <row r="2" spans="1:4" s="1" customFormat="1" ht="15.75" x14ac:dyDescent="0.25">
      <c r="A2" s="2"/>
      <c r="B2" s="2"/>
      <c r="C2" s="2"/>
      <c r="D2" s="2"/>
    </row>
    <row r="3" spans="1:4" s="1" customFormat="1" ht="12.75" x14ac:dyDescent="0.2">
      <c r="A3" s="105" t="s">
        <v>1</v>
      </c>
      <c r="B3" s="105"/>
      <c r="C3" s="105"/>
      <c r="D3" s="105"/>
    </row>
    <row r="4" spans="1:4" s="1" customFormat="1" ht="12.75" x14ac:dyDescent="0.2">
      <c r="A4" s="3"/>
      <c r="B4" s="3"/>
      <c r="C4" s="3"/>
      <c r="D4" s="3"/>
    </row>
    <row r="5" spans="1:4" s="1" customFormat="1" ht="12.75" x14ac:dyDescent="0.2">
      <c r="A5" s="4" t="s">
        <v>2</v>
      </c>
      <c r="B5" s="5" t="s">
        <v>3</v>
      </c>
      <c r="C5" s="6"/>
      <c r="D5" s="7"/>
    </row>
    <row r="6" spans="1:4" s="1" customFormat="1" ht="12.75" x14ac:dyDescent="0.2">
      <c r="A6" s="4" t="s">
        <v>4</v>
      </c>
      <c r="B6" s="5" t="s">
        <v>5</v>
      </c>
      <c r="C6" s="6"/>
      <c r="D6" s="7"/>
    </row>
    <row r="7" spans="1:4" s="1" customFormat="1" ht="12.75" x14ac:dyDescent="0.2">
      <c r="A7" s="4" t="s">
        <v>6</v>
      </c>
      <c r="B7" s="5" t="s">
        <v>7</v>
      </c>
      <c r="C7" s="6"/>
      <c r="D7" s="7"/>
    </row>
    <row r="8" spans="1:4" s="1" customFormat="1" ht="12.75" x14ac:dyDescent="0.2">
      <c r="A8" s="4" t="s">
        <v>8</v>
      </c>
      <c r="B8" s="5" t="s">
        <v>9</v>
      </c>
      <c r="C8" s="6"/>
      <c r="D8" s="7">
        <v>24</v>
      </c>
    </row>
    <row r="10" spans="1:4" s="1" customFormat="1" ht="12.75" x14ac:dyDescent="0.2">
      <c r="A10" s="105" t="s">
        <v>10</v>
      </c>
      <c r="B10" s="105"/>
      <c r="C10" s="105"/>
      <c r="D10" s="105"/>
    </row>
    <row r="11" spans="1:4" s="1" customFormat="1" ht="12.75" x14ac:dyDescent="0.2">
      <c r="A11" s="3"/>
      <c r="B11" s="3"/>
      <c r="C11" s="3"/>
      <c r="D11" s="3"/>
    </row>
    <row r="12" spans="1:4" s="1" customFormat="1" ht="38.25" customHeight="1" x14ac:dyDescent="0.2">
      <c r="A12" s="106" t="s">
        <v>11</v>
      </c>
      <c r="B12" s="106"/>
      <c r="C12" s="94" t="s">
        <v>12</v>
      </c>
      <c r="D12" s="9" t="s">
        <v>13</v>
      </c>
    </row>
    <row r="13" spans="1:4" s="11" customFormat="1" ht="15.75" x14ac:dyDescent="0.2">
      <c r="A13" s="107" t="s">
        <v>228</v>
      </c>
      <c r="B13" s="107"/>
      <c r="C13" s="95" t="s">
        <v>15</v>
      </c>
      <c r="D13" s="95">
        <v>1</v>
      </c>
    </row>
    <row r="14" spans="1:4" ht="16.5" x14ac:dyDescent="0.25">
      <c r="B14" s="103" t="s">
        <v>229</v>
      </c>
    </row>
    <row r="15" spans="1:4" s="1" customFormat="1" ht="12.75" x14ac:dyDescent="0.2">
      <c r="A15" s="105" t="s">
        <v>16</v>
      </c>
      <c r="B15" s="105"/>
      <c r="C15" s="105"/>
      <c r="D15" s="105"/>
    </row>
    <row r="16" spans="1:4" s="1" customFormat="1" ht="12.75" x14ac:dyDescent="0.2">
      <c r="A16" s="3"/>
      <c r="B16" s="3"/>
      <c r="C16" s="3"/>
      <c r="D16" s="3"/>
    </row>
    <row r="17" spans="1:4" s="1" customFormat="1" ht="12.75" x14ac:dyDescent="0.2">
      <c r="A17" s="4">
        <v>1</v>
      </c>
      <c r="B17" s="4" t="s">
        <v>17</v>
      </c>
      <c r="C17" s="108" t="s">
        <v>132</v>
      </c>
      <c r="D17" s="108"/>
    </row>
    <row r="18" spans="1:4" s="1" customFormat="1" ht="12.75" x14ac:dyDescent="0.2">
      <c r="A18" s="4">
        <v>2</v>
      </c>
      <c r="B18" s="4" t="s">
        <v>19</v>
      </c>
      <c r="C18" s="108" t="s">
        <v>133</v>
      </c>
      <c r="D18" s="108"/>
    </row>
    <row r="19" spans="1:4" s="1" customFormat="1" ht="12.75" x14ac:dyDescent="0.2">
      <c r="A19" s="4">
        <v>3</v>
      </c>
      <c r="B19" s="4" t="s">
        <v>21</v>
      </c>
      <c r="C19" s="108">
        <v>2229.58</v>
      </c>
      <c r="D19" s="108"/>
    </row>
    <row r="20" spans="1:4" s="1" customFormat="1" ht="12.75" x14ac:dyDescent="0.2">
      <c r="A20" s="4">
        <v>4</v>
      </c>
      <c r="B20" s="4" t="s">
        <v>22</v>
      </c>
      <c r="C20" s="108"/>
      <c r="D20" s="108"/>
    </row>
    <row r="21" spans="1:4" s="1" customFormat="1" ht="12.75" x14ac:dyDescent="0.2">
      <c r="A21" s="4">
        <v>5</v>
      </c>
      <c r="B21" s="4" t="s">
        <v>23</v>
      </c>
      <c r="C21" s="108"/>
      <c r="D21" s="108"/>
    </row>
    <row r="23" spans="1:4" s="1" customFormat="1" ht="12.75" x14ac:dyDescent="0.2">
      <c r="A23" s="105" t="s">
        <v>24</v>
      </c>
      <c r="B23" s="105"/>
      <c r="C23" s="105"/>
      <c r="D23" s="105"/>
    </row>
    <row r="25" spans="1:4" s="1" customFormat="1" ht="12.75" customHeight="1" x14ac:dyDescent="0.2">
      <c r="A25" s="96">
        <v>1</v>
      </c>
      <c r="B25" s="110" t="s">
        <v>25</v>
      </c>
      <c r="C25" s="110"/>
      <c r="D25" s="96" t="s">
        <v>26</v>
      </c>
    </row>
    <row r="26" spans="1:4" s="1" customFormat="1" ht="12.75" customHeight="1" x14ac:dyDescent="0.2">
      <c r="A26" s="94" t="s">
        <v>2</v>
      </c>
      <c r="B26" s="111" t="s">
        <v>27</v>
      </c>
      <c r="C26" s="111"/>
      <c r="D26" s="14">
        <v>2229.58</v>
      </c>
    </row>
    <row r="27" spans="1:4" s="1" customFormat="1" ht="12.75" customHeight="1" x14ac:dyDescent="0.2">
      <c r="A27" s="94" t="s">
        <v>4</v>
      </c>
      <c r="B27" s="111" t="s">
        <v>28</v>
      </c>
      <c r="C27" s="111"/>
      <c r="D27" s="14"/>
    </row>
    <row r="28" spans="1:4" s="1" customFormat="1" ht="12.75" customHeight="1" x14ac:dyDescent="0.2">
      <c r="A28" s="94" t="s">
        <v>6</v>
      </c>
      <c r="B28" s="111" t="s">
        <v>29</v>
      </c>
      <c r="C28" s="111"/>
      <c r="D28" s="14">
        <f>D26*0.2</f>
        <v>445.916</v>
      </c>
    </row>
    <row r="29" spans="1:4" s="1" customFormat="1" ht="12.75" customHeight="1" x14ac:dyDescent="0.2">
      <c r="A29" s="94" t="s">
        <v>8</v>
      </c>
      <c r="B29" s="111" t="s">
        <v>30</v>
      </c>
      <c r="C29" s="111"/>
      <c r="D29" s="14"/>
    </row>
    <row r="30" spans="1:4" s="1" customFormat="1" ht="12.75" customHeight="1" x14ac:dyDescent="0.2">
      <c r="A30" s="94" t="s">
        <v>31</v>
      </c>
      <c r="B30" s="111" t="s">
        <v>32</v>
      </c>
      <c r="C30" s="111"/>
      <c r="D30" s="14"/>
    </row>
    <row r="31" spans="1:4" s="1" customFormat="1" ht="12.75" x14ac:dyDescent="0.2">
      <c r="A31" s="94"/>
      <c r="B31" s="111"/>
      <c r="C31" s="111"/>
      <c r="D31" s="14"/>
    </row>
    <row r="32" spans="1:4" s="1" customFormat="1" ht="12.75" customHeight="1" x14ac:dyDescent="0.2">
      <c r="A32" s="94" t="s">
        <v>33</v>
      </c>
      <c r="B32" s="111" t="s">
        <v>34</v>
      </c>
      <c r="C32" s="111"/>
      <c r="D32" s="14"/>
    </row>
    <row r="33" spans="1:4" s="1" customFormat="1" ht="12.75" customHeight="1" x14ac:dyDescent="0.2">
      <c r="A33" s="110" t="s">
        <v>35</v>
      </c>
      <c r="B33" s="110"/>
      <c r="C33" s="110"/>
      <c r="D33" s="15">
        <f>SUM(D26:D32)</f>
        <v>2675.4960000000001</v>
      </c>
    </row>
    <row r="36" spans="1:4" s="1" customFormat="1" ht="12.75" x14ac:dyDescent="0.2">
      <c r="A36" s="105" t="s">
        <v>36</v>
      </c>
      <c r="B36" s="105"/>
      <c r="C36" s="105"/>
      <c r="D36" s="105"/>
    </row>
    <row r="37" spans="1:4" s="1" customFormat="1" ht="12.75" x14ac:dyDescent="0.2">
      <c r="A37" s="16"/>
    </row>
    <row r="38" spans="1:4" s="1" customFormat="1" ht="12.75" x14ac:dyDescent="0.2">
      <c r="A38" s="112" t="s">
        <v>37</v>
      </c>
      <c r="B38" s="112"/>
      <c r="C38" s="112"/>
      <c r="D38" s="112"/>
    </row>
    <row r="40" spans="1:4" s="1" customFormat="1" ht="12.75" customHeight="1" x14ac:dyDescent="0.2">
      <c r="A40" s="96" t="s">
        <v>38</v>
      </c>
      <c r="B40" s="110" t="s">
        <v>39</v>
      </c>
      <c r="C40" s="110"/>
      <c r="D40" s="96" t="s">
        <v>26</v>
      </c>
    </row>
    <row r="41" spans="1:4" s="1" customFormat="1" ht="12.75" x14ac:dyDescent="0.2">
      <c r="A41" s="94" t="s">
        <v>2</v>
      </c>
      <c r="B41" s="97" t="s">
        <v>40</v>
      </c>
      <c r="C41" s="17">
        <f>TRUNC(1/12,4)</f>
        <v>8.3299999999999999E-2</v>
      </c>
      <c r="D41" s="14">
        <f>TRUNC($D$33*C41,2)</f>
        <v>222.86</v>
      </c>
    </row>
    <row r="42" spans="1:4" s="1" customFormat="1" ht="12.75" x14ac:dyDescent="0.2">
      <c r="A42" s="94" t="s">
        <v>4</v>
      </c>
      <c r="B42" s="97" t="s">
        <v>41</v>
      </c>
      <c r="C42" s="17">
        <f>TRUNC(((1+1/3)/12),4)</f>
        <v>0.1111</v>
      </c>
      <c r="D42" s="14">
        <f>TRUNC($D$33*C42,2)</f>
        <v>297.24</v>
      </c>
    </row>
    <row r="43" spans="1:4" s="1" customFormat="1" ht="12.75" customHeight="1" x14ac:dyDescent="0.2">
      <c r="A43" s="110" t="s">
        <v>35</v>
      </c>
      <c r="B43" s="110"/>
      <c r="C43" s="18">
        <f>SUM(C41:C42)</f>
        <v>0.19440000000000002</v>
      </c>
      <c r="D43" s="19">
        <f>SUM(D41:D42)</f>
        <v>520.1</v>
      </c>
    </row>
    <row r="46" spans="1:4" s="1" customFormat="1" ht="12.75" customHeight="1" x14ac:dyDescent="0.2">
      <c r="A46" s="113" t="s">
        <v>42</v>
      </c>
      <c r="B46" s="113"/>
      <c r="C46" s="113"/>
      <c r="D46" s="113"/>
    </row>
    <row r="48" spans="1:4" s="1" customFormat="1" ht="12.75" x14ac:dyDescent="0.2">
      <c r="A48" s="96" t="s">
        <v>43</v>
      </c>
      <c r="B48" s="96" t="s">
        <v>44</v>
      </c>
      <c r="C48" s="96" t="s">
        <v>45</v>
      </c>
      <c r="D48" s="96" t="s">
        <v>26</v>
      </c>
    </row>
    <row r="49" spans="1:4" s="1" customFormat="1" ht="12.75" x14ac:dyDescent="0.2">
      <c r="A49" s="94" t="s">
        <v>2</v>
      </c>
      <c r="B49" s="97" t="s">
        <v>46</v>
      </c>
      <c r="C49" s="20">
        <v>0.2</v>
      </c>
      <c r="D49" s="14">
        <f t="shared" ref="D49:D56" si="0">TRUNC(($D$33+$D$43)*C49,2)</f>
        <v>639.11</v>
      </c>
    </row>
    <row r="50" spans="1:4" s="1" customFormat="1" ht="12.75" x14ac:dyDescent="0.2">
      <c r="A50" s="94" t="s">
        <v>4</v>
      </c>
      <c r="B50" s="97" t="s">
        <v>47</v>
      </c>
      <c r="C50" s="20">
        <v>2.5000000000000001E-2</v>
      </c>
      <c r="D50" s="14">
        <f t="shared" si="0"/>
        <v>79.88</v>
      </c>
    </row>
    <row r="51" spans="1:4" s="1" customFormat="1" ht="12.75" x14ac:dyDescent="0.2">
      <c r="A51" s="94" t="s">
        <v>6</v>
      </c>
      <c r="B51" s="97" t="s">
        <v>48</v>
      </c>
      <c r="C51" s="21">
        <v>0.03</v>
      </c>
      <c r="D51" s="14">
        <f t="shared" si="0"/>
        <v>95.86</v>
      </c>
    </row>
    <row r="52" spans="1:4" s="1" customFormat="1" ht="12.75" x14ac:dyDescent="0.2">
      <c r="A52" s="94" t="s">
        <v>8</v>
      </c>
      <c r="B52" s="97" t="s">
        <v>49</v>
      </c>
      <c r="C52" s="20">
        <v>1.4999999999999999E-2</v>
      </c>
      <c r="D52" s="14">
        <f t="shared" si="0"/>
        <v>47.93</v>
      </c>
    </row>
    <row r="53" spans="1:4" s="1" customFormat="1" ht="12.75" x14ac:dyDescent="0.2">
      <c r="A53" s="94" t="s">
        <v>31</v>
      </c>
      <c r="B53" s="97" t="s">
        <v>50</v>
      </c>
      <c r="C53" s="20">
        <v>0.01</v>
      </c>
      <c r="D53" s="14">
        <f t="shared" si="0"/>
        <v>31.95</v>
      </c>
    </row>
    <row r="54" spans="1:4" s="1" customFormat="1" ht="12.75" x14ac:dyDescent="0.2">
      <c r="A54" s="94" t="s">
        <v>51</v>
      </c>
      <c r="B54" s="97" t="s">
        <v>52</v>
      </c>
      <c r="C54" s="20">
        <v>6.0000000000000001E-3</v>
      </c>
      <c r="D54" s="14">
        <f t="shared" si="0"/>
        <v>19.170000000000002</v>
      </c>
    </row>
    <row r="55" spans="1:4" s="1" customFormat="1" ht="12.75" x14ac:dyDescent="0.2">
      <c r="A55" s="94" t="s">
        <v>33</v>
      </c>
      <c r="B55" s="97" t="s">
        <v>53</v>
      </c>
      <c r="C55" s="20">
        <v>2E-3</v>
      </c>
      <c r="D55" s="14">
        <f t="shared" si="0"/>
        <v>6.39</v>
      </c>
    </row>
    <row r="56" spans="1:4" s="1" customFormat="1" ht="12.75" x14ac:dyDescent="0.2">
      <c r="A56" s="94" t="s">
        <v>54</v>
      </c>
      <c r="B56" s="97" t="s">
        <v>55</v>
      </c>
      <c r="C56" s="20">
        <v>0.08</v>
      </c>
      <c r="D56" s="14">
        <f t="shared" si="0"/>
        <v>255.64</v>
      </c>
    </row>
    <row r="57" spans="1:4" s="1" customFormat="1" ht="12.75" customHeight="1" x14ac:dyDescent="0.2">
      <c r="A57" s="110" t="s">
        <v>56</v>
      </c>
      <c r="B57" s="110"/>
      <c r="C57" s="22">
        <f>SUM(C49:C56)</f>
        <v>0.36800000000000005</v>
      </c>
      <c r="D57" s="19">
        <f>SUM(D49:D56)</f>
        <v>1175.9299999999998</v>
      </c>
    </row>
    <row r="60" spans="1:4" s="1" customFormat="1" ht="12.75" x14ac:dyDescent="0.2">
      <c r="A60" s="112" t="s">
        <v>57</v>
      </c>
      <c r="B60" s="112"/>
      <c r="C60" s="112"/>
      <c r="D60" s="112"/>
    </row>
    <row r="62" spans="1:4" s="1" customFormat="1" ht="12.75" customHeight="1" x14ac:dyDescent="0.2">
      <c r="A62" s="96" t="s">
        <v>58</v>
      </c>
      <c r="B62" s="114" t="s">
        <v>59</v>
      </c>
      <c r="C62" s="114"/>
      <c r="D62" s="96" t="s">
        <v>26</v>
      </c>
    </row>
    <row r="63" spans="1:4" s="1" customFormat="1" ht="12.75" customHeight="1" x14ac:dyDescent="0.2">
      <c r="A63" s="94" t="s">
        <v>2</v>
      </c>
      <c r="B63" s="111" t="s">
        <v>60</v>
      </c>
      <c r="C63" s="111"/>
      <c r="D63" s="14">
        <f>IF((22*2*4.9)&gt;(D26*0.06),(22*2*4.9)-(D26*0.06),0)</f>
        <v>81.825200000000024</v>
      </c>
    </row>
    <row r="64" spans="1:4" s="1" customFormat="1" ht="12.75" customHeight="1" x14ac:dyDescent="0.2">
      <c r="A64" s="94" t="s">
        <v>4</v>
      </c>
      <c r="B64" s="111" t="s">
        <v>61</v>
      </c>
      <c r="C64" s="111"/>
      <c r="D64" s="14">
        <f>22*20.49*0.95</f>
        <v>428.24099999999993</v>
      </c>
    </row>
    <row r="65" spans="1:5" s="1" customFormat="1" ht="12.75" customHeight="1" x14ac:dyDescent="0.2">
      <c r="A65" s="94" t="s">
        <v>6</v>
      </c>
      <c r="B65" s="111" t="s">
        <v>62</v>
      </c>
      <c r="C65" s="111"/>
      <c r="D65" s="14"/>
    </row>
    <row r="66" spans="1:5" s="1" customFormat="1" ht="12.75" customHeight="1" x14ac:dyDescent="0.2">
      <c r="A66" s="94" t="s">
        <v>8</v>
      </c>
      <c r="B66" s="111" t="s">
        <v>34</v>
      </c>
      <c r="C66" s="111"/>
      <c r="D66" s="14"/>
    </row>
    <row r="67" spans="1:5" s="1" customFormat="1" ht="12.75" customHeight="1" x14ac:dyDescent="0.2">
      <c r="A67" s="110" t="s">
        <v>35</v>
      </c>
      <c r="B67" s="110"/>
      <c r="C67" s="110"/>
      <c r="D67" s="19">
        <f>SUM(D63:D66)</f>
        <v>510.06619999999998</v>
      </c>
    </row>
    <row r="70" spans="1:5" s="1" customFormat="1" ht="12.75" x14ac:dyDescent="0.2">
      <c r="A70" s="112" t="s">
        <v>63</v>
      </c>
      <c r="B70" s="112"/>
      <c r="C70" s="112"/>
      <c r="D70" s="112"/>
    </row>
    <row r="72" spans="1:5" s="1" customFormat="1" ht="12.75" customHeight="1" x14ac:dyDescent="0.2">
      <c r="A72" s="96">
        <v>2</v>
      </c>
      <c r="B72" s="114" t="s">
        <v>64</v>
      </c>
      <c r="C72" s="114"/>
      <c r="D72" s="96" t="s">
        <v>26</v>
      </c>
    </row>
    <row r="73" spans="1:5" s="1" customFormat="1" ht="12.75" customHeight="1" x14ac:dyDescent="0.2">
      <c r="A73" s="94" t="s">
        <v>38</v>
      </c>
      <c r="B73" s="111" t="s">
        <v>39</v>
      </c>
      <c r="C73" s="111"/>
      <c r="D73" s="23">
        <f>D43</f>
        <v>520.1</v>
      </c>
    </row>
    <row r="74" spans="1:5" s="1" customFormat="1" ht="12.75" customHeight="1" x14ac:dyDescent="0.2">
      <c r="A74" s="94" t="s">
        <v>43</v>
      </c>
      <c r="B74" s="111" t="s">
        <v>44</v>
      </c>
      <c r="C74" s="111"/>
      <c r="D74" s="23">
        <f>D57</f>
        <v>1175.9299999999998</v>
      </c>
    </row>
    <row r="75" spans="1:5" s="1" customFormat="1" ht="12.75" customHeight="1" x14ac:dyDescent="0.2">
      <c r="A75" s="94" t="s">
        <v>58</v>
      </c>
      <c r="B75" s="111" t="s">
        <v>59</v>
      </c>
      <c r="C75" s="111"/>
      <c r="D75" s="23">
        <f>D67</f>
        <v>510.06619999999998</v>
      </c>
    </row>
    <row r="76" spans="1:5" s="1" customFormat="1" ht="12.75" customHeight="1" x14ac:dyDescent="0.2">
      <c r="A76" s="110" t="s">
        <v>35</v>
      </c>
      <c r="B76" s="110"/>
      <c r="C76" s="110"/>
      <c r="D76" s="19">
        <f>SUM(D73:D75)</f>
        <v>2206.0962</v>
      </c>
    </row>
    <row r="77" spans="1:5" s="1" customFormat="1" ht="12.75" x14ac:dyDescent="0.2">
      <c r="A77" s="24"/>
      <c r="E77" s="25"/>
    </row>
    <row r="79" spans="1:5" s="1" customFormat="1" ht="12.75" x14ac:dyDescent="0.2">
      <c r="A79" s="105" t="s">
        <v>65</v>
      </c>
      <c r="B79" s="105"/>
      <c r="C79" s="105"/>
      <c r="D79" s="105"/>
      <c r="E79" s="26"/>
    </row>
    <row r="80" spans="1:5" s="1" customFormat="1" ht="12.75" customHeight="1" x14ac:dyDescent="0.2">
      <c r="E80" s="25"/>
    </row>
    <row r="81" spans="1:4" s="1" customFormat="1" ht="12.75" customHeight="1" x14ac:dyDescent="0.2">
      <c r="A81" s="96">
        <v>3</v>
      </c>
      <c r="B81" s="114" t="s">
        <v>66</v>
      </c>
      <c r="C81" s="114"/>
      <c r="D81" s="96" t="s">
        <v>26</v>
      </c>
    </row>
    <row r="82" spans="1:4" s="1" customFormat="1" ht="12.75" x14ac:dyDescent="0.2">
      <c r="A82" s="94" t="s">
        <v>2</v>
      </c>
      <c r="B82" s="27" t="s">
        <v>67</v>
      </c>
      <c r="C82" s="20">
        <f>TRUNC(((1/12)*5%),4)</f>
        <v>4.1000000000000003E-3</v>
      </c>
      <c r="D82" s="14">
        <f>TRUNC($D$33*C82,2)</f>
        <v>10.96</v>
      </c>
    </row>
    <row r="83" spans="1:4" s="1" customFormat="1" ht="12.75" x14ac:dyDescent="0.2">
      <c r="A83" s="94" t="s">
        <v>4</v>
      </c>
      <c r="B83" s="27" t="s">
        <v>68</v>
      </c>
      <c r="C83" s="20">
        <v>0.08</v>
      </c>
      <c r="D83" s="14">
        <f>TRUNC(D82*C83,2)</f>
        <v>0.87</v>
      </c>
    </row>
    <row r="84" spans="1:4" s="1" customFormat="1" ht="12.75" x14ac:dyDescent="0.2">
      <c r="A84" s="94" t="s">
        <v>6</v>
      </c>
      <c r="B84" s="27" t="s">
        <v>69</v>
      </c>
      <c r="C84" s="20">
        <f>TRUNC(8%*5%*40%,4)</f>
        <v>1.6000000000000001E-3</v>
      </c>
      <c r="D84" s="14">
        <f>TRUNC($D$33*C84,2)</f>
        <v>4.28</v>
      </c>
    </row>
    <row r="85" spans="1:4" s="1" customFormat="1" ht="12.75" x14ac:dyDescent="0.2">
      <c r="A85" s="94" t="s">
        <v>8</v>
      </c>
      <c r="B85" s="27" t="s">
        <v>70</v>
      </c>
      <c r="C85" s="20">
        <f>TRUNC(((7/30)/12)*95%,4)</f>
        <v>1.84E-2</v>
      </c>
      <c r="D85" s="14">
        <f>TRUNC($D$33*C85,2)</f>
        <v>49.22</v>
      </c>
    </row>
    <row r="86" spans="1:4" s="1" customFormat="1" ht="25.5" x14ac:dyDescent="0.2">
      <c r="A86" s="94" t="s">
        <v>31</v>
      </c>
      <c r="B86" s="27" t="s">
        <v>71</v>
      </c>
      <c r="C86" s="20">
        <f>C57</f>
        <v>0.36800000000000005</v>
      </c>
      <c r="D86" s="14">
        <f>TRUNC(D85*C86,2)</f>
        <v>18.11</v>
      </c>
    </row>
    <row r="87" spans="1:4" s="1" customFormat="1" ht="12.75" x14ac:dyDescent="0.2">
      <c r="A87" s="94" t="s">
        <v>51</v>
      </c>
      <c r="B87" s="27" t="s">
        <v>72</v>
      </c>
      <c r="C87" s="20">
        <f>TRUNC(8%*95%*40%,4)</f>
        <v>3.04E-2</v>
      </c>
      <c r="D87" s="14">
        <f>TRUNC($D$33*C87,2)</f>
        <v>81.33</v>
      </c>
    </row>
    <row r="88" spans="1:4" s="1" customFormat="1" ht="12.75" customHeight="1" x14ac:dyDescent="0.2">
      <c r="A88" s="110" t="s">
        <v>35</v>
      </c>
      <c r="B88" s="110"/>
      <c r="C88" s="110"/>
      <c r="D88" s="19">
        <f>SUM(D82:D87)</f>
        <v>164.76999999999998</v>
      </c>
    </row>
    <row r="91" spans="1:4" s="1" customFormat="1" ht="12.75" x14ac:dyDescent="0.2">
      <c r="A91" s="105" t="s">
        <v>73</v>
      </c>
      <c r="B91" s="105"/>
      <c r="C91" s="105"/>
      <c r="D91" s="105"/>
    </row>
    <row r="94" spans="1:4" s="1" customFormat="1" ht="12.75" x14ac:dyDescent="0.2">
      <c r="A94" s="112" t="s">
        <v>74</v>
      </c>
      <c r="B94" s="112"/>
      <c r="C94" s="112"/>
      <c r="D94" s="112"/>
    </row>
    <row r="95" spans="1:4" s="1" customFormat="1" ht="12.75" x14ac:dyDescent="0.2">
      <c r="A95" s="16"/>
    </row>
    <row r="96" spans="1:4" s="1" customFormat="1" ht="12.75" customHeight="1" x14ac:dyDescent="0.2">
      <c r="A96" s="96" t="s">
        <v>75</v>
      </c>
      <c r="B96" s="114" t="s">
        <v>76</v>
      </c>
      <c r="C96" s="114"/>
      <c r="D96" s="96" t="s">
        <v>26</v>
      </c>
    </row>
    <row r="97" spans="1:6" s="1" customFormat="1" ht="12.75" x14ac:dyDescent="0.2">
      <c r="A97" s="94" t="s">
        <v>2</v>
      </c>
      <c r="B97" s="97" t="s">
        <v>77</v>
      </c>
      <c r="C97" s="20">
        <f>TRUNC(((1+1/3)/12)/12,4)</f>
        <v>9.1999999999999998E-3</v>
      </c>
      <c r="D97" s="14">
        <f t="shared" ref="D97:D102" si="1">TRUNC(($D$33+$D$76+$D$88)*C97,2)</f>
        <v>46.42</v>
      </c>
    </row>
    <row r="98" spans="1:6" s="1" customFormat="1" ht="12.75" x14ac:dyDescent="0.2">
      <c r="A98" s="94" t="s">
        <v>4</v>
      </c>
      <c r="B98" s="97" t="s">
        <v>78</v>
      </c>
      <c r="C98" s="20">
        <f>TRUNC(((2/30)/12),4)</f>
        <v>5.4999999999999997E-3</v>
      </c>
      <c r="D98" s="14">
        <f t="shared" si="1"/>
        <v>27.75</v>
      </c>
    </row>
    <row r="99" spans="1:6" s="1" customFormat="1" ht="12.75" x14ac:dyDescent="0.2">
      <c r="A99" s="94" t="s">
        <v>6</v>
      </c>
      <c r="B99" s="97" t="s">
        <v>79</v>
      </c>
      <c r="C99" s="20">
        <f>TRUNC(((5/30)/12)*2%,4)</f>
        <v>2.0000000000000001E-4</v>
      </c>
      <c r="D99" s="14">
        <f t="shared" si="1"/>
        <v>1</v>
      </c>
    </row>
    <row r="100" spans="1:6" s="1" customFormat="1" ht="12.75" x14ac:dyDescent="0.2">
      <c r="A100" s="94" t="s">
        <v>8</v>
      </c>
      <c r="B100" s="97" t="s">
        <v>80</v>
      </c>
      <c r="C100" s="20">
        <f>TRUNC(((15/30)/12)*8%,4)</f>
        <v>3.3E-3</v>
      </c>
      <c r="D100" s="14">
        <f t="shared" si="1"/>
        <v>16.649999999999999</v>
      </c>
    </row>
    <row r="101" spans="1:6" s="1" customFormat="1" ht="12.75" x14ac:dyDescent="0.2">
      <c r="A101" s="94" t="s">
        <v>31</v>
      </c>
      <c r="B101" s="97" t="s">
        <v>81</v>
      </c>
      <c r="C101" s="20">
        <f>((1+1/3)/12)*3%*(4/12)</f>
        <v>1.1111111111111109E-3</v>
      </c>
      <c r="D101" s="14">
        <f t="shared" si="1"/>
        <v>5.6</v>
      </c>
    </row>
    <row r="102" spans="1:6" s="1" customFormat="1" ht="12.75" x14ac:dyDescent="0.2">
      <c r="A102" s="94" t="s">
        <v>51</v>
      </c>
      <c r="B102" s="97" t="s">
        <v>82</v>
      </c>
      <c r="C102" s="20"/>
      <c r="D102" s="14">
        <f t="shared" si="1"/>
        <v>0</v>
      </c>
    </row>
    <row r="103" spans="1:6" s="1" customFormat="1" ht="12.75" customHeight="1" x14ac:dyDescent="0.2">
      <c r="A103" s="110" t="s">
        <v>56</v>
      </c>
      <c r="B103" s="110"/>
      <c r="C103" s="110"/>
      <c r="D103" s="19">
        <f>SUM(D97:D102)</f>
        <v>97.419999999999987</v>
      </c>
      <c r="E103" s="26"/>
      <c r="F103" s="26"/>
    </row>
    <row r="106" spans="1:6" s="1" customFormat="1" ht="12.75" x14ac:dyDescent="0.2">
      <c r="A106" s="112" t="s">
        <v>83</v>
      </c>
      <c r="B106" s="112"/>
      <c r="C106" s="112"/>
      <c r="D106" s="112"/>
    </row>
    <row r="107" spans="1:6" s="1" customFormat="1" ht="12.75" x14ac:dyDescent="0.2">
      <c r="A107" s="16"/>
    </row>
    <row r="108" spans="1:6" s="1" customFormat="1" ht="12.75" customHeight="1" x14ac:dyDescent="0.2">
      <c r="A108" s="96" t="s">
        <v>84</v>
      </c>
      <c r="B108" s="114" t="s">
        <v>85</v>
      </c>
      <c r="C108" s="114"/>
      <c r="D108" s="96" t="s">
        <v>26</v>
      </c>
    </row>
    <row r="109" spans="1:6" s="1" customFormat="1" ht="12.75" customHeight="1" x14ac:dyDescent="0.2">
      <c r="A109" s="94" t="s">
        <v>2</v>
      </c>
      <c r="B109" s="111" t="s">
        <v>86</v>
      </c>
      <c r="C109" s="111"/>
      <c r="D109" s="14">
        <f>((D33+D76+D88)/220)*22*0</f>
        <v>0</v>
      </c>
    </row>
    <row r="110" spans="1:6" s="1" customFormat="1" ht="12.75" customHeight="1" x14ac:dyDescent="0.2">
      <c r="A110" s="110" t="s">
        <v>35</v>
      </c>
      <c r="B110" s="110"/>
      <c r="C110" s="110"/>
      <c r="D110" s="19">
        <f>SUM(D109)</f>
        <v>0</v>
      </c>
    </row>
    <row r="113" spans="1:4" s="1" customFormat="1" ht="12.75" x14ac:dyDescent="0.2">
      <c r="A113" s="112" t="s">
        <v>87</v>
      </c>
      <c r="B113" s="112"/>
      <c r="C113" s="112"/>
      <c r="D113" s="112"/>
    </row>
    <row r="114" spans="1:4" s="1" customFormat="1" ht="12.75" x14ac:dyDescent="0.2">
      <c r="A114" s="16"/>
    </row>
    <row r="115" spans="1:4" s="1" customFormat="1" ht="12.75" customHeight="1" x14ac:dyDescent="0.2">
      <c r="A115" s="96">
        <v>4</v>
      </c>
      <c r="B115" s="110" t="s">
        <v>88</v>
      </c>
      <c r="C115" s="110"/>
      <c r="D115" s="96" t="s">
        <v>26</v>
      </c>
    </row>
    <row r="116" spans="1:4" s="1" customFormat="1" ht="12.75" customHeight="1" x14ac:dyDescent="0.2">
      <c r="A116" s="94" t="s">
        <v>75</v>
      </c>
      <c r="B116" s="111" t="s">
        <v>76</v>
      </c>
      <c r="C116" s="111"/>
      <c r="D116" s="23">
        <f>D103</f>
        <v>97.419999999999987</v>
      </c>
    </row>
    <row r="117" spans="1:4" s="1" customFormat="1" ht="12.75" customHeight="1" x14ac:dyDescent="0.2">
      <c r="A117" s="94" t="s">
        <v>84</v>
      </c>
      <c r="B117" s="111" t="s">
        <v>85</v>
      </c>
      <c r="C117" s="111"/>
      <c r="D117" s="23">
        <f>D110</f>
        <v>0</v>
      </c>
    </row>
    <row r="118" spans="1:4" s="1" customFormat="1" ht="12.75" customHeight="1" x14ac:dyDescent="0.2">
      <c r="A118" s="110" t="s">
        <v>35</v>
      </c>
      <c r="B118" s="110"/>
      <c r="C118" s="110"/>
      <c r="D118" s="19">
        <f>SUM(D116:D117)</f>
        <v>97.419999999999987</v>
      </c>
    </row>
    <row r="121" spans="1:4" s="1" customFormat="1" ht="12.75" x14ac:dyDescent="0.2">
      <c r="A121" s="105" t="s">
        <v>89</v>
      </c>
      <c r="B121" s="105"/>
      <c r="C121" s="105"/>
      <c r="D121" s="105"/>
    </row>
    <row r="123" spans="1:4" s="1" customFormat="1" ht="12.75" customHeight="1" x14ac:dyDescent="0.2">
      <c r="A123" s="96">
        <v>5</v>
      </c>
      <c r="B123" s="115" t="s">
        <v>90</v>
      </c>
      <c r="C123" s="115"/>
      <c r="D123" s="96" t="s">
        <v>26</v>
      </c>
    </row>
    <row r="124" spans="1:4" s="1" customFormat="1" ht="12.75" x14ac:dyDescent="0.2">
      <c r="A124" s="94" t="s">
        <v>2</v>
      </c>
      <c r="B124" s="97" t="s">
        <v>91</v>
      </c>
      <c r="C124" s="97"/>
      <c r="D124" s="14">
        <v>66.040000000000006</v>
      </c>
    </row>
    <row r="125" spans="1:4" s="1" customFormat="1" ht="12.75" x14ac:dyDescent="0.2">
      <c r="A125" s="94" t="s">
        <v>4</v>
      </c>
      <c r="B125" s="97" t="s">
        <v>92</v>
      </c>
      <c r="C125" s="97"/>
      <c r="D125" s="14">
        <v>61.36</v>
      </c>
    </row>
    <row r="126" spans="1:4" s="1" customFormat="1" ht="12.75" x14ac:dyDescent="0.2">
      <c r="A126" s="94" t="s">
        <v>6</v>
      </c>
      <c r="B126" s="97" t="s">
        <v>93</v>
      </c>
      <c r="C126" s="97"/>
      <c r="D126" s="14">
        <v>40.22</v>
      </c>
    </row>
    <row r="127" spans="1:4" s="1" customFormat="1" ht="12.75" x14ac:dyDescent="0.2">
      <c r="A127" s="94" t="s">
        <v>8</v>
      </c>
      <c r="B127" s="97" t="s">
        <v>34</v>
      </c>
      <c r="C127" s="97"/>
      <c r="D127" s="14"/>
    </row>
    <row r="128" spans="1:4" s="1" customFormat="1" ht="12.75" customHeight="1" x14ac:dyDescent="0.2">
      <c r="A128" s="110" t="s">
        <v>56</v>
      </c>
      <c r="B128" s="110"/>
      <c r="C128" s="110"/>
      <c r="D128" s="15">
        <f>SUM(D124:D127)</f>
        <v>167.62</v>
      </c>
    </row>
    <row r="131" spans="1:4" s="1" customFormat="1" ht="12.75" x14ac:dyDescent="0.2">
      <c r="A131" s="105" t="s">
        <v>94</v>
      </c>
      <c r="B131" s="105"/>
      <c r="C131" s="105"/>
      <c r="D131" s="105"/>
    </row>
    <row r="133" spans="1:4" s="1" customFormat="1" ht="12.75" x14ac:dyDescent="0.2">
      <c r="A133" s="96">
        <v>6</v>
      </c>
      <c r="B133" s="98" t="s">
        <v>95</v>
      </c>
      <c r="C133" s="96" t="s">
        <v>45</v>
      </c>
      <c r="D133" s="96" t="s">
        <v>26</v>
      </c>
    </row>
    <row r="134" spans="1:4" s="1" customFormat="1" ht="12.75" x14ac:dyDescent="0.2">
      <c r="A134" s="94" t="s">
        <v>2</v>
      </c>
      <c r="B134" s="97" t="s">
        <v>96</v>
      </c>
      <c r="C134" s="20">
        <v>0.05</v>
      </c>
      <c r="D134" s="23">
        <f>D154*C134</f>
        <v>265.57011</v>
      </c>
    </row>
    <row r="135" spans="1:4" s="1" customFormat="1" ht="12.75" x14ac:dyDescent="0.2">
      <c r="A135" s="94" t="s">
        <v>4</v>
      </c>
      <c r="B135" s="97" t="s">
        <v>97</v>
      </c>
      <c r="C135" s="20">
        <v>0.06</v>
      </c>
      <c r="D135" s="14">
        <f>(D154+D134)*C135</f>
        <v>334.61833859999996</v>
      </c>
    </row>
    <row r="136" spans="1:4" s="1" customFormat="1" ht="12.75" x14ac:dyDescent="0.2">
      <c r="A136" s="94" t="s">
        <v>6</v>
      </c>
      <c r="B136" s="97" t="s">
        <v>98</v>
      </c>
      <c r="C136" s="17">
        <f>SUM(C137:C142)</f>
        <v>8.6499999999999994E-2</v>
      </c>
      <c r="D136" s="14">
        <f>(D154+D134+D135)*C136/(1-C136)</f>
        <v>559.7729513999999</v>
      </c>
    </row>
    <row r="137" spans="1:4" s="1" customFormat="1" ht="12.75" x14ac:dyDescent="0.2">
      <c r="A137" s="94"/>
      <c r="B137" s="97" t="s">
        <v>99</v>
      </c>
      <c r="C137" s="20"/>
      <c r="D137" s="23">
        <f t="shared" ref="D137:D142" si="2">$D$156*C137</f>
        <v>0</v>
      </c>
    </row>
    <row r="138" spans="1:4" s="1" customFormat="1" ht="12.75" x14ac:dyDescent="0.2">
      <c r="A138" s="94"/>
      <c r="B138" s="97" t="s">
        <v>100</v>
      </c>
      <c r="C138" s="20">
        <v>6.4999999999999997E-3</v>
      </c>
      <c r="D138" s="23">
        <f t="shared" si="2"/>
        <v>42.063863399999988</v>
      </c>
    </row>
    <row r="139" spans="1:4" s="1" customFormat="1" ht="12.75" x14ac:dyDescent="0.2">
      <c r="A139" s="94"/>
      <c r="B139" s="97" t="s">
        <v>101</v>
      </c>
      <c r="C139" s="20">
        <v>0.03</v>
      </c>
      <c r="D139" s="23">
        <f t="shared" si="2"/>
        <v>194.14090799999997</v>
      </c>
    </row>
    <row r="140" spans="1:4" s="1" customFormat="1" ht="12.75" x14ac:dyDescent="0.2">
      <c r="A140" s="94"/>
      <c r="B140" s="97" t="s">
        <v>102</v>
      </c>
      <c r="C140" s="94"/>
      <c r="D140" s="23">
        <f t="shared" si="2"/>
        <v>0</v>
      </c>
    </row>
    <row r="141" spans="1:4" s="1" customFormat="1" ht="12.75" x14ac:dyDescent="0.2">
      <c r="A141" s="94"/>
      <c r="B141" s="97" t="s">
        <v>103</v>
      </c>
      <c r="C141" s="20"/>
      <c r="D141" s="23">
        <f t="shared" si="2"/>
        <v>0</v>
      </c>
    </row>
    <row r="142" spans="1:4" s="1" customFormat="1" ht="12.75" x14ac:dyDescent="0.2">
      <c r="A142" s="94"/>
      <c r="B142" s="97" t="s">
        <v>104</v>
      </c>
      <c r="C142" s="20">
        <v>0.05</v>
      </c>
      <c r="D142" s="23">
        <f t="shared" si="2"/>
        <v>323.56817999999998</v>
      </c>
    </row>
    <row r="143" spans="1:4" s="1" customFormat="1" ht="13.5" customHeight="1" x14ac:dyDescent="0.2">
      <c r="A143" s="116" t="s">
        <v>56</v>
      </c>
      <c r="B143" s="116"/>
      <c r="C143" s="29">
        <f>ROUND((1+C135)*(1+C134)/(1-C136)-1,4)</f>
        <v>0.21840000000000001</v>
      </c>
      <c r="D143" s="19">
        <f>SUM(D134:D136)</f>
        <v>1159.9613999999997</v>
      </c>
    </row>
    <row r="146" spans="1:4" s="1" customFormat="1" ht="12.75" x14ac:dyDescent="0.2">
      <c r="A146" s="105" t="s">
        <v>105</v>
      </c>
      <c r="B146" s="105"/>
      <c r="C146" s="105"/>
      <c r="D146" s="105"/>
    </row>
    <row r="148" spans="1:4" s="1" customFormat="1" ht="12.75" customHeight="1" x14ac:dyDescent="0.2">
      <c r="A148" s="96"/>
      <c r="B148" s="110" t="s">
        <v>106</v>
      </c>
      <c r="C148" s="110"/>
      <c r="D148" s="96" t="s">
        <v>26</v>
      </c>
    </row>
    <row r="149" spans="1:4" s="1" customFormat="1" ht="12.75" customHeight="1" x14ac:dyDescent="0.2">
      <c r="A149" s="96" t="s">
        <v>2</v>
      </c>
      <c r="B149" s="111" t="s">
        <v>24</v>
      </c>
      <c r="C149" s="111"/>
      <c r="D149" s="30">
        <f>D33</f>
        <v>2675.4960000000001</v>
      </c>
    </row>
    <row r="150" spans="1:4" s="1" customFormat="1" ht="12.75" customHeight="1" x14ac:dyDescent="0.2">
      <c r="A150" s="96" t="s">
        <v>4</v>
      </c>
      <c r="B150" s="111" t="s">
        <v>36</v>
      </c>
      <c r="C150" s="111"/>
      <c r="D150" s="30">
        <f>D76</f>
        <v>2206.0962</v>
      </c>
    </row>
    <row r="151" spans="1:4" s="1" customFormat="1" ht="12.75" customHeight="1" x14ac:dyDescent="0.2">
      <c r="A151" s="96" t="s">
        <v>6</v>
      </c>
      <c r="B151" s="111" t="s">
        <v>65</v>
      </c>
      <c r="C151" s="111"/>
      <c r="D151" s="30">
        <f>D88</f>
        <v>164.76999999999998</v>
      </c>
    </row>
    <row r="152" spans="1:4" s="1" customFormat="1" ht="12.75" customHeight="1" x14ac:dyDescent="0.2">
      <c r="A152" s="96" t="s">
        <v>8</v>
      </c>
      <c r="B152" s="111" t="s">
        <v>73</v>
      </c>
      <c r="C152" s="111"/>
      <c r="D152" s="30">
        <f>D118</f>
        <v>97.419999999999987</v>
      </c>
    </row>
    <row r="153" spans="1:4" s="1" customFormat="1" ht="12.75" customHeight="1" x14ac:dyDescent="0.2">
      <c r="A153" s="96" t="s">
        <v>31</v>
      </c>
      <c r="B153" s="111" t="s">
        <v>89</v>
      </c>
      <c r="C153" s="111"/>
      <c r="D153" s="30">
        <f>D128</f>
        <v>167.62</v>
      </c>
    </row>
    <row r="154" spans="1:4" s="1" customFormat="1" ht="12.75" customHeight="1" x14ac:dyDescent="0.2">
      <c r="A154" s="110" t="s">
        <v>107</v>
      </c>
      <c r="B154" s="110"/>
      <c r="C154" s="110"/>
      <c r="D154" s="31">
        <f>SUM(D149:D153)</f>
        <v>5311.4021999999995</v>
      </c>
    </row>
    <row r="155" spans="1:4" s="1" customFormat="1" ht="12.75" customHeight="1" x14ac:dyDescent="0.2">
      <c r="A155" s="96" t="s">
        <v>51</v>
      </c>
      <c r="B155" s="111" t="s">
        <v>108</v>
      </c>
      <c r="C155" s="111"/>
      <c r="D155" s="32">
        <f>D143</f>
        <v>1159.9613999999997</v>
      </c>
    </row>
    <row r="156" spans="1:4" s="1" customFormat="1" ht="12.75" customHeight="1" x14ac:dyDescent="0.2">
      <c r="A156" s="110" t="s">
        <v>109</v>
      </c>
      <c r="B156" s="110"/>
      <c r="C156" s="110"/>
      <c r="D156" s="31">
        <f>SUM(D154:D155)</f>
        <v>6471.3635999999988</v>
      </c>
    </row>
  </sheetData>
  <mergeCells count="71">
    <mergeCell ref="B152:C152"/>
    <mergeCell ref="B153:C153"/>
    <mergeCell ref="A154:C154"/>
    <mergeCell ref="B155:C155"/>
    <mergeCell ref="A156:C156"/>
    <mergeCell ref="A110:C110"/>
    <mergeCell ref="A113:D113"/>
    <mergeCell ref="B115:C115"/>
    <mergeCell ref="B116:C116"/>
    <mergeCell ref="B151:C151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B96:C96"/>
    <mergeCell ref="A103:C103"/>
    <mergeCell ref="A106:D106"/>
    <mergeCell ref="B108:C108"/>
    <mergeCell ref="B109:C109"/>
    <mergeCell ref="A79:D79"/>
    <mergeCell ref="B81:C81"/>
    <mergeCell ref="A88:C88"/>
    <mergeCell ref="A91:D91"/>
    <mergeCell ref="A94:D94"/>
    <mergeCell ref="B72:C72"/>
    <mergeCell ref="B73:C73"/>
    <mergeCell ref="B74:C74"/>
    <mergeCell ref="B75:C75"/>
    <mergeCell ref="A76:C76"/>
    <mergeCell ref="B64:C64"/>
    <mergeCell ref="B65:C65"/>
    <mergeCell ref="B66:C66"/>
    <mergeCell ref="A67:C67"/>
    <mergeCell ref="A70:D70"/>
    <mergeCell ref="A46:D46"/>
    <mergeCell ref="A57:B57"/>
    <mergeCell ref="A60:D60"/>
    <mergeCell ref="B62:C62"/>
    <mergeCell ref="B63:C63"/>
    <mergeCell ref="A33:C33"/>
    <mergeCell ref="A36:D36"/>
    <mergeCell ref="A38:D38"/>
    <mergeCell ref="B40:C40"/>
    <mergeCell ref="A43:B43"/>
    <mergeCell ref="B28:C28"/>
    <mergeCell ref="B29:C29"/>
    <mergeCell ref="B30:C30"/>
    <mergeCell ref="B31:C31"/>
    <mergeCell ref="B32:C32"/>
    <mergeCell ref="C21:D21"/>
    <mergeCell ref="A23:D23"/>
    <mergeCell ref="B25:C25"/>
    <mergeCell ref="B26:C26"/>
    <mergeCell ref="B27:C27"/>
    <mergeCell ref="A15:D15"/>
    <mergeCell ref="C17:D17"/>
    <mergeCell ref="C18:D18"/>
    <mergeCell ref="C19:D19"/>
    <mergeCell ref="C20:D20"/>
    <mergeCell ref="A1:D1"/>
    <mergeCell ref="A3:D3"/>
    <mergeCell ref="A10:D10"/>
    <mergeCell ref="A12:B12"/>
    <mergeCell ref="A13:B13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L51"/>
  <sheetViews>
    <sheetView topLeftCell="A10" zoomScaleNormal="100" workbookViewId="0">
      <pane xSplit="1" topLeftCell="B1" activePane="topRight" state="frozen"/>
      <selection activeCell="K15" sqref="K15"/>
      <selection pane="topRight" activeCell="B46" sqref="B46"/>
    </sheetView>
  </sheetViews>
  <sheetFormatPr defaultColWidth="9.140625" defaultRowHeight="15" x14ac:dyDescent="0.25"/>
  <cols>
    <col min="1" max="1" width="27.85546875" style="33" bestFit="1" customWidth="1"/>
    <col min="2" max="29" width="10.7109375" style="33" customWidth="1"/>
    <col min="30" max="1024" width="9.140625" style="33"/>
  </cols>
  <sheetData>
    <row r="1" spans="1:1026" ht="18.75" x14ac:dyDescent="0.3">
      <c r="A1" s="86" t="s">
        <v>197</v>
      </c>
    </row>
    <row r="3" spans="1:1026" x14ac:dyDescent="0.25">
      <c r="A3" s="85" t="s">
        <v>199</v>
      </c>
      <c r="B3" s="34"/>
    </row>
    <row r="4" spans="1:1026" s="64" customFormat="1" ht="89.25" customHeight="1" x14ac:dyDescent="0.25">
      <c r="A4" s="62" t="s">
        <v>139</v>
      </c>
      <c r="B4" s="119" t="str">
        <f>engeletr!A13</f>
        <v>Engenheiro Eletricista (Supervisor)</v>
      </c>
      <c r="C4" s="120"/>
      <c r="D4" s="119" t="str">
        <f>encrefig!A13</f>
        <v>Encarregado - Refrigeração</v>
      </c>
      <c r="E4" s="120"/>
      <c r="F4" s="119" t="str">
        <f>enceletr!A13</f>
        <v xml:space="preserve">Encarregado - Elétrica </v>
      </c>
      <c r="G4" s="120"/>
      <c r="H4" s="119" t="str">
        <f>enccivil!A13</f>
        <v>Encarregado - Civil</v>
      </c>
      <c r="I4" s="120"/>
      <c r="J4" s="119" t="str">
        <f>tectele!A13</f>
        <v>Técnico em Redes e Telecomunicações</v>
      </c>
      <c r="K4" s="120"/>
      <c r="L4" s="119" t="str">
        <f>teceletro!A13</f>
        <v>Técnico em Eletromecânica</v>
      </c>
      <c r="M4" s="120"/>
      <c r="N4" s="119" t="str">
        <f>tecrefrig!A13</f>
        <v>Técnico em Refrigeração</v>
      </c>
      <c r="O4" s="120"/>
      <c r="P4" s="119" t="str">
        <f>eletric!A13</f>
        <v>Eletricista</v>
      </c>
      <c r="Q4" s="120"/>
      <c r="R4" s="119" t="str">
        <f>ajmontD!A13</f>
        <v>Ajudante de Montagem e Manutenção (Servente Prático) - diurno</v>
      </c>
      <c r="S4" s="120"/>
      <c r="T4" s="119" t="str">
        <f>ajmontN!A13</f>
        <v>Ajudante de Montagem e Manutenção (Servente Prático) - noturno</v>
      </c>
      <c r="U4" s="120"/>
      <c r="V4" s="119" t="str">
        <f>auxcivil!A13</f>
        <v xml:space="preserve">Auxiliar Técnico – Civil (pequenas obras e adequações prediais) </v>
      </c>
      <c r="W4" s="120"/>
      <c r="X4" s="119" t="str">
        <f>pintorN!A13</f>
        <v>Pintor Industrial (Estruturas Metálicas) - noturno</v>
      </c>
      <c r="Y4" s="120"/>
      <c r="Z4" s="119" t="str">
        <f>auxtelha!A13</f>
        <v>Auxiliar Técnico – Telhadista</v>
      </c>
      <c r="AA4" s="120"/>
      <c r="AB4" s="119" t="str">
        <f>tecseg!A13</f>
        <v xml:space="preserve">Técnico de Segurança no Trabalho Pleno </v>
      </c>
      <c r="AC4" s="120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63"/>
      <c r="AW4" s="63"/>
      <c r="AX4" s="63"/>
      <c r="AY4" s="63"/>
      <c r="AZ4" s="63"/>
      <c r="BA4" s="63"/>
      <c r="BB4" s="63"/>
      <c r="BC4" s="63"/>
      <c r="BD4" s="63"/>
      <c r="BE4" s="63"/>
      <c r="BF4" s="63"/>
      <c r="BG4" s="63"/>
      <c r="BH4" s="63"/>
      <c r="BI4" s="63"/>
      <c r="BJ4" s="63"/>
      <c r="BK4" s="63"/>
      <c r="BL4" s="63"/>
      <c r="BM4" s="63"/>
      <c r="BN4" s="63"/>
      <c r="BO4" s="63"/>
      <c r="BP4" s="63"/>
      <c r="BQ4" s="63"/>
      <c r="BR4" s="63"/>
      <c r="BS4" s="63"/>
      <c r="BT4" s="63"/>
      <c r="BU4" s="63"/>
      <c r="BV4" s="63"/>
      <c r="BW4" s="63"/>
      <c r="BX4" s="63"/>
      <c r="BY4" s="63"/>
      <c r="BZ4" s="63"/>
      <c r="CA4" s="63"/>
      <c r="CB4" s="63"/>
      <c r="CC4" s="63"/>
      <c r="CD4" s="63"/>
      <c r="CE4" s="63"/>
      <c r="CF4" s="63"/>
      <c r="CG4" s="63"/>
      <c r="CH4" s="63"/>
      <c r="CI4" s="63"/>
      <c r="CJ4" s="63"/>
      <c r="CK4" s="63"/>
      <c r="CL4" s="63"/>
      <c r="CM4" s="63"/>
      <c r="CN4" s="63"/>
      <c r="CO4" s="63"/>
      <c r="CP4" s="63"/>
      <c r="CQ4" s="63"/>
      <c r="CR4" s="63"/>
      <c r="CS4" s="63"/>
      <c r="CT4" s="63"/>
      <c r="CU4" s="63"/>
      <c r="CV4" s="63"/>
      <c r="CW4" s="63"/>
      <c r="CX4" s="63"/>
      <c r="CY4" s="63"/>
      <c r="CZ4" s="63"/>
      <c r="DA4" s="63"/>
      <c r="DB4" s="63"/>
      <c r="DC4" s="63"/>
      <c r="DD4" s="63"/>
      <c r="DE4" s="63"/>
      <c r="DF4" s="63"/>
      <c r="DG4" s="63"/>
      <c r="DH4" s="63"/>
      <c r="DI4" s="63"/>
      <c r="DJ4" s="63"/>
      <c r="DK4" s="63"/>
      <c r="DL4" s="63"/>
      <c r="DM4" s="63"/>
      <c r="DN4" s="63"/>
      <c r="DO4" s="63"/>
      <c r="DP4" s="63"/>
      <c r="DQ4" s="63"/>
      <c r="DR4" s="63"/>
      <c r="DS4" s="63"/>
      <c r="DT4" s="63"/>
      <c r="DU4" s="63"/>
      <c r="DV4" s="63"/>
      <c r="DW4" s="63"/>
      <c r="DX4" s="63"/>
      <c r="DY4" s="63"/>
      <c r="DZ4" s="63"/>
      <c r="EA4" s="63"/>
      <c r="EB4" s="63"/>
      <c r="EC4" s="63"/>
      <c r="ED4" s="63"/>
      <c r="EE4" s="63"/>
      <c r="EF4" s="63"/>
      <c r="EG4" s="63"/>
      <c r="EH4" s="63"/>
      <c r="EI4" s="63"/>
      <c r="EJ4" s="63"/>
      <c r="EK4" s="63"/>
      <c r="EL4" s="63"/>
      <c r="EM4" s="63"/>
      <c r="EN4" s="63"/>
      <c r="EO4" s="63"/>
      <c r="EP4" s="63"/>
      <c r="EQ4" s="63"/>
      <c r="ER4" s="63"/>
      <c r="ES4" s="63"/>
      <c r="ET4" s="63"/>
      <c r="EU4" s="63"/>
      <c r="EV4" s="63"/>
      <c r="EW4" s="63"/>
      <c r="EX4" s="63"/>
      <c r="EY4" s="63"/>
      <c r="EZ4" s="63"/>
      <c r="FA4" s="63"/>
      <c r="FB4" s="63"/>
      <c r="FC4" s="63"/>
      <c r="FD4" s="63"/>
      <c r="FE4" s="63"/>
      <c r="FF4" s="63"/>
      <c r="FG4" s="63"/>
      <c r="FH4" s="63"/>
      <c r="FI4" s="63"/>
      <c r="FJ4" s="63"/>
      <c r="FK4" s="63"/>
      <c r="FL4" s="63"/>
      <c r="FM4" s="63"/>
      <c r="FN4" s="63"/>
      <c r="FO4" s="63"/>
      <c r="FP4" s="63"/>
      <c r="FQ4" s="63"/>
      <c r="FR4" s="63"/>
      <c r="FS4" s="63"/>
      <c r="FT4" s="63"/>
      <c r="FU4" s="63"/>
      <c r="FV4" s="63"/>
      <c r="FW4" s="63"/>
      <c r="FX4" s="63"/>
      <c r="FY4" s="63"/>
      <c r="FZ4" s="63"/>
      <c r="GA4" s="63"/>
      <c r="GB4" s="63"/>
      <c r="GC4" s="63"/>
      <c r="GD4" s="63"/>
      <c r="GE4" s="63"/>
      <c r="GF4" s="63"/>
      <c r="GG4" s="63"/>
      <c r="GH4" s="63"/>
      <c r="GI4" s="63"/>
      <c r="GJ4" s="63"/>
      <c r="GK4" s="63"/>
      <c r="GL4" s="63"/>
      <c r="GM4" s="63"/>
      <c r="GN4" s="63"/>
      <c r="GO4" s="63"/>
      <c r="GP4" s="63"/>
      <c r="GQ4" s="63"/>
      <c r="GR4" s="63"/>
      <c r="GS4" s="63"/>
      <c r="GT4" s="63"/>
      <c r="GU4" s="63"/>
      <c r="GV4" s="63"/>
      <c r="GW4" s="63"/>
      <c r="GX4" s="63"/>
      <c r="GY4" s="63"/>
      <c r="GZ4" s="63"/>
      <c r="HA4" s="63"/>
      <c r="HB4" s="63"/>
      <c r="HC4" s="63"/>
      <c r="HD4" s="63"/>
      <c r="HE4" s="63"/>
      <c r="HF4" s="63"/>
      <c r="HG4" s="63"/>
      <c r="HH4" s="63"/>
      <c r="HI4" s="63"/>
      <c r="HJ4" s="63"/>
      <c r="HK4" s="63"/>
      <c r="HL4" s="63"/>
      <c r="HM4" s="63"/>
      <c r="HN4" s="63"/>
      <c r="HO4" s="63"/>
      <c r="HP4" s="63"/>
      <c r="HQ4" s="63"/>
      <c r="HR4" s="63"/>
      <c r="HS4" s="63"/>
      <c r="HT4" s="63"/>
      <c r="HU4" s="63"/>
      <c r="HV4" s="63"/>
      <c r="HW4" s="63"/>
      <c r="HX4" s="63"/>
      <c r="HY4" s="63"/>
      <c r="HZ4" s="63"/>
      <c r="IA4" s="63"/>
      <c r="IB4" s="63"/>
      <c r="IC4" s="63"/>
      <c r="ID4" s="63"/>
      <c r="IE4" s="63"/>
      <c r="IF4" s="63"/>
      <c r="IG4" s="63"/>
      <c r="IH4" s="63"/>
      <c r="II4" s="63"/>
      <c r="IJ4" s="63"/>
      <c r="IK4" s="63"/>
      <c r="IL4" s="63"/>
      <c r="IM4" s="63"/>
      <c r="IN4" s="63"/>
      <c r="IO4" s="63"/>
      <c r="IP4" s="63"/>
      <c r="IQ4" s="63"/>
      <c r="IR4" s="63"/>
      <c r="IS4" s="63"/>
      <c r="IT4" s="63"/>
      <c r="IU4" s="63"/>
      <c r="IV4" s="63"/>
      <c r="IW4" s="63"/>
      <c r="IX4" s="63"/>
      <c r="IY4" s="63"/>
      <c r="IZ4" s="63"/>
      <c r="JA4" s="63"/>
      <c r="JB4" s="63"/>
      <c r="JC4" s="63"/>
      <c r="JD4" s="63"/>
      <c r="JE4" s="63"/>
      <c r="JF4" s="63"/>
      <c r="JG4" s="63"/>
      <c r="JH4" s="63"/>
      <c r="JI4" s="63"/>
      <c r="JJ4" s="63"/>
      <c r="JK4" s="63"/>
      <c r="JL4" s="63"/>
      <c r="JM4" s="63"/>
      <c r="JN4" s="63"/>
      <c r="JO4" s="63"/>
      <c r="JP4" s="63"/>
      <c r="JQ4" s="63"/>
      <c r="JR4" s="63"/>
      <c r="JS4" s="63"/>
      <c r="JT4" s="63"/>
      <c r="JU4" s="63"/>
      <c r="JV4" s="63"/>
      <c r="JW4" s="63"/>
      <c r="JX4" s="63"/>
      <c r="JY4" s="63"/>
      <c r="JZ4" s="63"/>
      <c r="KA4" s="63"/>
      <c r="KB4" s="63"/>
      <c r="KC4" s="63"/>
      <c r="KD4" s="63"/>
      <c r="KE4" s="63"/>
      <c r="KF4" s="63"/>
      <c r="KG4" s="63"/>
      <c r="KH4" s="63"/>
      <c r="KI4" s="63"/>
      <c r="KJ4" s="63"/>
      <c r="KK4" s="63"/>
      <c r="KL4" s="63"/>
      <c r="KM4" s="63"/>
      <c r="KN4" s="63"/>
      <c r="KO4" s="63"/>
      <c r="KP4" s="63"/>
      <c r="KQ4" s="63"/>
      <c r="KR4" s="63"/>
      <c r="KS4" s="63"/>
      <c r="KT4" s="63"/>
      <c r="KU4" s="63"/>
      <c r="KV4" s="63"/>
      <c r="KW4" s="63"/>
      <c r="KX4" s="63"/>
      <c r="KY4" s="63"/>
      <c r="KZ4" s="63"/>
      <c r="LA4" s="63"/>
      <c r="LB4" s="63"/>
      <c r="LC4" s="63"/>
      <c r="LD4" s="63"/>
      <c r="LE4" s="63"/>
      <c r="LF4" s="63"/>
      <c r="LG4" s="63"/>
      <c r="LH4" s="63"/>
      <c r="LI4" s="63"/>
      <c r="LJ4" s="63"/>
      <c r="LK4" s="63"/>
      <c r="LL4" s="63"/>
      <c r="LM4" s="63"/>
      <c r="LN4" s="63"/>
      <c r="LO4" s="63"/>
      <c r="LP4" s="63"/>
      <c r="LQ4" s="63"/>
      <c r="LR4" s="63"/>
      <c r="LS4" s="63"/>
      <c r="LT4" s="63"/>
      <c r="LU4" s="63"/>
      <c r="LV4" s="63"/>
      <c r="LW4" s="63"/>
      <c r="LX4" s="63"/>
      <c r="LY4" s="63"/>
      <c r="LZ4" s="63"/>
      <c r="MA4" s="63"/>
      <c r="MB4" s="63"/>
      <c r="MC4" s="63"/>
      <c r="MD4" s="63"/>
      <c r="ME4" s="63"/>
      <c r="MF4" s="63"/>
      <c r="MG4" s="63"/>
      <c r="MH4" s="63"/>
      <c r="MI4" s="63"/>
      <c r="MJ4" s="63"/>
      <c r="MK4" s="63"/>
      <c r="ML4" s="63"/>
      <c r="MM4" s="63"/>
      <c r="MN4" s="63"/>
      <c r="MO4" s="63"/>
      <c r="MP4" s="63"/>
      <c r="MQ4" s="63"/>
      <c r="MR4" s="63"/>
      <c r="MS4" s="63"/>
      <c r="MT4" s="63"/>
      <c r="MU4" s="63"/>
      <c r="MV4" s="63"/>
      <c r="MW4" s="63"/>
      <c r="MX4" s="63"/>
      <c r="MY4" s="63"/>
      <c r="MZ4" s="63"/>
      <c r="NA4" s="63"/>
      <c r="NB4" s="63"/>
      <c r="NC4" s="63"/>
      <c r="ND4" s="63"/>
      <c r="NE4" s="63"/>
      <c r="NF4" s="63"/>
      <c r="NG4" s="63"/>
      <c r="NH4" s="63"/>
      <c r="NI4" s="63"/>
      <c r="NJ4" s="63"/>
      <c r="NK4" s="63"/>
      <c r="NL4" s="63"/>
      <c r="NM4" s="63"/>
      <c r="NN4" s="63"/>
      <c r="NO4" s="63"/>
      <c r="NP4" s="63"/>
      <c r="NQ4" s="63"/>
      <c r="NR4" s="63"/>
      <c r="NS4" s="63"/>
      <c r="NT4" s="63"/>
      <c r="NU4" s="63"/>
      <c r="NV4" s="63"/>
      <c r="NW4" s="63"/>
      <c r="NX4" s="63"/>
      <c r="NY4" s="63"/>
      <c r="NZ4" s="63"/>
      <c r="OA4" s="63"/>
      <c r="OB4" s="63"/>
      <c r="OC4" s="63"/>
      <c r="OD4" s="63"/>
      <c r="OE4" s="63"/>
      <c r="OF4" s="63"/>
      <c r="OG4" s="63"/>
      <c r="OH4" s="63"/>
      <c r="OI4" s="63"/>
      <c r="OJ4" s="63"/>
      <c r="OK4" s="63"/>
      <c r="OL4" s="63"/>
      <c r="OM4" s="63"/>
      <c r="ON4" s="63"/>
      <c r="OO4" s="63"/>
      <c r="OP4" s="63"/>
      <c r="OQ4" s="63"/>
      <c r="OR4" s="63"/>
      <c r="OS4" s="63"/>
      <c r="OT4" s="63"/>
      <c r="OU4" s="63"/>
      <c r="OV4" s="63"/>
      <c r="OW4" s="63"/>
      <c r="OX4" s="63"/>
      <c r="OY4" s="63"/>
      <c r="OZ4" s="63"/>
      <c r="PA4" s="63"/>
      <c r="PB4" s="63"/>
      <c r="PC4" s="63"/>
      <c r="PD4" s="63"/>
      <c r="PE4" s="63"/>
      <c r="PF4" s="63"/>
      <c r="PG4" s="63"/>
      <c r="PH4" s="63"/>
      <c r="PI4" s="63"/>
      <c r="PJ4" s="63"/>
      <c r="PK4" s="63"/>
      <c r="PL4" s="63"/>
      <c r="PM4" s="63"/>
      <c r="PN4" s="63"/>
      <c r="PO4" s="63"/>
      <c r="PP4" s="63"/>
      <c r="PQ4" s="63"/>
      <c r="PR4" s="63"/>
      <c r="PS4" s="63"/>
      <c r="PT4" s="63"/>
      <c r="PU4" s="63"/>
      <c r="PV4" s="63"/>
      <c r="PW4" s="63"/>
      <c r="PX4" s="63"/>
      <c r="PY4" s="63"/>
      <c r="PZ4" s="63"/>
      <c r="QA4" s="63"/>
      <c r="QB4" s="63"/>
      <c r="QC4" s="63"/>
      <c r="QD4" s="63"/>
      <c r="QE4" s="63"/>
      <c r="QF4" s="63"/>
      <c r="QG4" s="63"/>
      <c r="QH4" s="63"/>
      <c r="QI4" s="63"/>
      <c r="QJ4" s="63"/>
      <c r="QK4" s="63"/>
      <c r="QL4" s="63"/>
      <c r="QM4" s="63"/>
      <c r="QN4" s="63"/>
      <c r="QO4" s="63"/>
      <c r="QP4" s="63"/>
      <c r="QQ4" s="63"/>
      <c r="QR4" s="63"/>
      <c r="QS4" s="63"/>
      <c r="QT4" s="63"/>
      <c r="QU4" s="63"/>
      <c r="QV4" s="63"/>
      <c r="QW4" s="63"/>
      <c r="QX4" s="63"/>
      <c r="QY4" s="63"/>
      <c r="QZ4" s="63"/>
      <c r="RA4" s="63"/>
      <c r="RB4" s="63"/>
      <c r="RC4" s="63"/>
      <c r="RD4" s="63"/>
      <c r="RE4" s="63"/>
      <c r="RF4" s="63"/>
      <c r="RG4" s="63"/>
      <c r="RH4" s="63"/>
      <c r="RI4" s="63"/>
      <c r="RJ4" s="63"/>
      <c r="RK4" s="63"/>
      <c r="RL4" s="63"/>
      <c r="RM4" s="63"/>
      <c r="RN4" s="63"/>
      <c r="RO4" s="63"/>
      <c r="RP4" s="63"/>
      <c r="RQ4" s="63"/>
      <c r="RR4" s="63"/>
      <c r="RS4" s="63"/>
      <c r="RT4" s="63"/>
      <c r="RU4" s="63"/>
      <c r="RV4" s="63"/>
      <c r="RW4" s="63"/>
      <c r="RX4" s="63"/>
      <c r="RY4" s="63"/>
      <c r="RZ4" s="63"/>
      <c r="SA4" s="63"/>
      <c r="SB4" s="63"/>
      <c r="SC4" s="63"/>
      <c r="SD4" s="63"/>
      <c r="SE4" s="63"/>
      <c r="SF4" s="63"/>
      <c r="SG4" s="63"/>
      <c r="SH4" s="63"/>
      <c r="SI4" s="63"/>
      <c r="SJ4" s="63"/>
      <c r="SK4" s="63"/>
      <c r="SL4" s="63"/>
      <c r="SM4" s="63"/>
      <c r="SN4" s="63"/>
      <c r="SO4" s="63"/>
      <c r="SP4" s="63"/>
      <c r="SQ4" s="63"/>
      <c r="SR4" s="63"/>
      <c r="SS4" s="63"/>
      <c r="ST4" s="63"/>
      <c r="SU4" s="63"/>
      <c r="SV4" s="63"/>
      <c r="SW4" s="63"/>
      <c r="SX4" s="63"/>
      <c r="SY4" s="63"/>
      <c r="SZ4" s="63"/>
      <c r="TA4" s="63"/>
      <c r="TB4" s="63"/>
      <c r="TC4" s="63"/>
      <c r="TD4" s="63"/>
      <c r="TE4" s="63"/>
      <c r="TF4" s="63"/>
      <c r="TG4" s="63"/>
      <c r="TH4" s="63"/>
      <c r="TI4" s="63"/>
      <c r="TJ4" s="63"/>
      <c r="TK4" s="63"/>
      <c r="TL4" s="63"/>
      <c r="TM4" s="63"/>
      <c r="TN4" s="63"/>
      <c r="TO4" s="63"/>
      <c r="TP4" s="63"/>
      <c r="TQ4" s="63"/>
      <c r="TR4" s="63"/>
      <c r="TS4" s="63"/>
      <c r="TT4" s="63"/>
      <c r="TU4" s="63"/>
      <c r="TV4" s="63"/>
      <c r="TW4" s="63"/>
      <c r="TX4" s="63"/>
      <c r="TY4" s="63"/>
      <c r="TZ4" s="63"/>
      <c r="UA4" s="63"/>
      <c r="UB4" s="63"/>
      <c r="UC4" s="63"/>
      <c r="UD4" s="63"/>
      <c r="UE4" s="63"/>
      <c r="UF4" s="63"/>
      <c r="UG4" s="63"/>
      <c r="UH4" s="63"/>
      <c r="UI4" s="63"/>
      <c r="UJ4" s="63"/>
      <c r="UK4" s="63"/>
      <c r="UL4" s="63"/>
      <c r="UM4" s="63"/>
      <c r="UN4" s="63"/>
      <c r="UO4" s="63"/>
      <c r="UP4" s="63"/>
      <c r="UQ4" s="63"/>
      <c r="UR4" s="63"/>
      <c r="US4" s="63"/>
      <c r="UT4" s="63"/>
      <c r="UU4" s="63"/>
      <c r="UV4" s="63"/>
      <c r="UW4" s="63"/>
      <c r="UX4" s="63"/>
      <c r="UY4" s="63"/>
      <c r="UZ4" s="63"/>
      <c r="VA4" s="63"/>
      <c r="VB4" s="63"/>
      <c r="VC4" s="63"/>
      <c r="VD4" s="63"/>
      <c r="VE4" s="63"/>
      <c r="VF4" s="63"/>
      <c r="VG4" s="63"/>
      <c r="VH4" s="63"/>
      <c r="VI4" s="63"/>
      <c r="VJ4" s="63"/>
      <c r="VK4" s="63"/>
      <c r="VL4" s="63"/>
      <c r="VM4" s="63"/>
      <c r="VN4" s="63"/>
      <c r="VO4" s="63"/>
      <c r="VP4" s="63"/>
      <c r="VQ4" s="63"/>
      <c r="VR4" s="63"/>
      <c r="VS4" s="63"/>
      <c r="VT4" s="63"/>
      <c r="VU4" s="63"/>
      <c r="VV4" s="63"/>
      <c r="VW4" s="63"/>
      <c r="VX4" s="63"/>
      <c r="VY4" s="63"/>
      <c r="VZ4" s="63"/>
      <c r="WA4" s="63"/>
      <c r="WB4" s="63"/>
      <c r="WC4" s="63"/>
      <c r="WD4" s="63"/>
      <c r="WE4" s="63"/>
      <c r="WF4" s="63"/>
      <c r="WG4" s="63"/>
      <c r="WH4" s="63"/>
      <c r="WI4" s="63"/>
      <c r="WJ4" s="63"/>
      <c r="WK4" s="63"/>
      <c r="WL4" s="63"/>
      <c r="WM4" s="63"/>
      <c r="WN4" s="63"/>
      <c r="WO4" s="63"/>
      <c r="WP4" s="63"/>
      <c r="WQ4" s="63"/>
      <c r="WR4" s="63"/>
      <c r="WS4" s="63"/>
      <c r="WT4" s="63"/>
      <c r="WU4" s="63"/>
      <c r="WV4" s="63"/>
      <c r="WW4" s="63"/>
      <c r="WX4" s="63"/>
      <c r="WY4" s="63"/>
      <c r="WZ4" s="63"/>
      <c r="XA4" s="63"/>
      <c r="XB4" s="63"/>
      <c r="XC4" s="63"/>
      <c r="XD4" s="63"/>
      <c r="XE4" s="63"/>
      <c r="XF4" s="63"/>
      <c r="XG4" s="63"/>
      <c r="XH4" s="63"/>
      <c r="XI4" s="63"/>
      <c r="XJ4" s="63"/>
      <c r="XK4" s="63"/>
      <c r="XL4" s="63"/>
      <c r="XM4" s="63"/>
      <c r="XN4" s="63"/>
      <c r="XO4" s="63"/>
      <c r="XP4" s="63"/>
      <c r="XQ4" s="63"/>
      <c r="XR4" s="63"/>
      <c r="XS4" s="63"/>
      <c r="XT4" s="63"/>
      <c r="XU4" s="63"/>
      <c r="XV4" s="63"/>
      <c r="XW4" s="63"/>
      <c r="XX4" s="63"/>
      <c r="XY4" s="63"/>
      <c r="XZ4" s="63"/>
      <c r="YA4" s="63"/>
      <c r="YB4" s="63"/>
      <c r="YC4" s="63"/>
      <c r="YD4" s="63"/>
      <c r="YE4" s="63"/>
      <c r="YF4" s="63"/>
      <c r="YG4" s="63"/>
      <c r="YH4" s="63"/>
      <c r="YI4" s="63"/>
      <c r="YJ4" s="63"/>
      <c r="YK4" s="63"/>
      <c r="YL4" s="63"/>
      <c r="YM4" s="63"/>
      <c r="YN4" s="63"/>
      <c r="YO4" s="63"/>
      <c r="YP4" s="63"/>
      <c r="YQ4" s="63"/>
      <c r="YR4" s="63"/>
      <c r="YS4" s="63"/>
      <c r="YT4" s="63"/>
      <c r="YU4" s="63"/>
      <c r="YV4" s="63"/>
      <c r="YW4" s="63"/>
      <c r="YX4" s="63"/>
      <c r="YY4" s="63"/>
      <c r="YZ4" s="63"/>
      <c r="ZA4" s="63"/>
      <c r="ZB4" s="63"/>
      <c r="ZC4" s="63"/>
      <c r="ZD4" s="63"/>
      <c r="ZE4" s="63"/>
      <c r="ZF4" s="63"/>
      <c r="ZG4" s="63"/>
      <c r="ZH4" s="63"/>
      <c r="ZI4" s="63"/>
      <c r="ZJ4" s="63"/>
      <c r="ZK4" s="63"/>
      <c r="ZL4" s="63"/>
      <c r="ZM4" s="63"/>
      <c r="ZN4" s="63"/>
      <c r="ZO4" s="63"/>
      <c r="ZP4" s="63"/>
      <c r="ZQ4" s="63"/>
      <c r="ZR4" s="63"/>
      <c r="ZS4" s="63"/>
      <c r="ZT4" s="63"/>
      <c r="ZU4" s="63"/>
      <c r="ZV4" s="63"/>
      <c r="ZW4" s="63"/>
      <c r="ZX4" s="63"/>
      <c r="ZY4" s="63"/>
      <c r="ZZ4" s="63"/>
      <c r="AAA4" s="63"/>
      <c r="AAB4" s="63"/>
      <c r="AAC4" s="63"/>
      <c r="AAD4" s="63"/>
      <c r="AAE4" s="63"/>
      <c r="AAF4" s="63"/>
      <c r="AAG4" s="63"/>
      <c r="AAH4" s="63"/>
      <c r="AAI4" s="63"/>
      <c r="AAJ4" s="63"/>
      <c r="AAK4" s="63"/>
      <c r="AAL4" s="63"/>
      <c r="AAM4" s="63"/>
      <c r="AAN4" s="63"/>
      <c r="AAO4" s="63"/>
      <c r="AAP4" s="63"/>
      <c r="AAQ4" s="63"/>
      <c r="AAR4" s="63"/>
      <c r="AAS4" s="63"/>
      <c r="AAT4" s="63"/>
      <c r="AAU4" s="63"/>
      <c r="AAV4" s="63"/>
      <c r="AAW4" s="63"/>
      <c r="AAX4" s="63"/>
      <c r="AAY4" s="63"/>
      <c r="AAZ4" s="63"/>
      <c r="ABA4" s="63"/>
      <c r="ABB4" s="63"/>
      <c r="ABC4" s="63"/>
      <c r="ABD4" s="63"/>
      <c r="ABE4" s="63"/>
      <c r="ABF4" s="63"/>
      <c r="ABG4" s="63"/>
      <c r="ABH4" s="63"/>
      <c r="ABI4" s="63"/>
      <c r="ABJ4" s="63"/>
      <c r="ABK4" s="63"/>
      <c r="ABL4" s="63"/>
      <c r="ABM4" s="63"/>
      <c r="ABN4" s="63"/>
      <c r="ABO4" s="63"/>
      <c r="ABP4" s="63"/>
      <c r="ABQ4" s="63"/>
      <c r="ABR4" s="63"/>
      <c r="ABS4" s="63"/>
      <c r="ABT4" s="63"/>
      <c r="ABU4" s="63"/>
      <c r="ABV4" s="63"/>
      <c r="ABW4" s="63"/>
      <c r="ABX4" s="63"/>
      <c r="ABY4" s="63"/>
      <c r="ABZ4" s="63"/>
      <c r="ACA4" s="63"/>
      <c r="ACB4" s="63"/>
      <c r="ACC4" s="63"/>
      <c r="ACD4" s="63"/>
      <c r="ACE4" s="63"/>
      <c r="ACF4" s="63"/>
      <c r="ACG4" s="63"/>
      <c r="ACH4" s="63"/>
      <c r="ACI4" s="63"/>
      <c r="ACJ4" s="63"/>
      <c r="ACK4" s="63"/>
      <c r="ACL4" s="63"/>
      <c r="ACM4" s="63"/>
      <c r="ACN4" s="63"/>
      <c r="ACO4" s="63"/>
      <c r="ACP4" s="63"/>
      <c r="ACQ4" s="63"/>
      <c r="ACR4" s="63"/>
      <c r="ACS4" s="63"/>
      <c r="ACT4" s="63"/>
      <c r="ACU4" s="63"/>
      <c r="ACV4" s="63"/>
      <c r="ACW4" s="63"/>
      <c r="ACX4" s="63"/>
      <c r="ACY4" s="63"/>
      <c r="ACZ4" s="63"/>
      <c r="ADA4" s="63"/>
      <c r="ADB4" s="63"/>
      <c r="ADC4" s="63"/>
      <c r="ADD4" s="63"/>
      <c r="ADE4" s="63"/>
      <c r="ADF4" s="63"/>
      <c r="ADG4" s="63"/>
      <c r="ADH4" s="63"/>
      <c r="ADI4" s="63"/>
      <c r="ADJ4" s="63"/>
      <c r="ADK4" s="63"/>
      <c r="ADL4" s="63"/>
      <c r="ADM4" s="63"/>
      <c r="ADN4" s="63"/>
      <c r="ADO4" s="63"/>
      <c r="ADP4" s="63"/>
      <c r="ADQ4" s="63"/>
      <c r="ADR4" s="63"/>
      <c r="ADS4" s="63"/>
      <c r="ADT4" s="63"/>
      <c r="ADU4" s="63"/>
      <c r="ADV4" s="63"/>
      <c r="ADW4" s="63"/>
      <c r="ADX4" s="63"/>
      <c r="ADY4" s="63"/>
      <c r="ADZ4" s="63"/>
      <c r="AEA4" s="63"/>
      <c r="AEB4" s="63"/>
      <c r="AEC4" s="63"/>
      <c r="AED4" s="63"/>
      <c r="AEE4" s="63"/>
      <c r="AEF4" s="63"/>
      <c r="AEG4" s="63"/>
      <c r="AEH4" s="63"/>
      <c r="AEI4" s="63"/>
      <c r="AEJ4" s="63"/>
      <c r="AEK4" s="63"/>
      <c r="AEL4" s="63"/>
      <c r="AEM4" s="63"/>
      <c r="AEN4" s="63"/>
      <c r="AEO4" s="63"/>
      <c r="AEP4" s="63"/>
      <c r="AEQ4" s="63"/>
      <c r="AER4" s="63"/>
      <c r="AES4" s="63"/>
      <c r="AET4" s="63"/>
      <c r="AEU4" s="63"/>
      <c r="AEV4" s="63"/>
      <c r="AEW4" s="63"/>
      <c r="AEX4" s="63"/>
      <c r="AEY4" s="63"/>
      <c r="AEZ4" s="63"/>
      <c r="AFA4" s="63"/>
      <c r="AFB4" s="63"/>
      <c r="AFC4" s="63"/>
      <c r="AFD4" s="63"/>
      <c r="AFE4" s="63"/>
      <c r="AFF4" s="63"/>
      <c r="AFG4" s="63"/>
      <c r="AFH4" s="63"/>
      <c r="AFI4" s="63"/>
      <c r="AFJ4" s="63"/>
      <c r="AFK4" s="63"/>
      <c r="AFL4" s="63"/>
      <c r="AFM4" s="63"/>
      <c r="AFN4" s="63"/>
      <c r="AFO4" s="63"/>
      <c r="AFP4" s="63"/>
      <c r="AFQ4" s="63"/>
      <c r="AFR4" s="63"/>
      <c r="AFS4" s="63"/>
      <c r="AFT4" s="63"/>
      <c r="AFU4" s="63"/>
      <c r="AFV4" s="63"/>
      <c r="AFW4" s="63"/>
      <c r="AFX4" s="63"/>
      <c r="AFY4" s="63"/>
      <c r="AFZ4" s="63"/>
      <c r="AGA4" s="63"/>
      <c r="AGB4" s="63"/>
      <c r="AGC4" s="63"/>
      <c r="AGD4" s="63"/>
      <c r="AGE4" s="63"/>
      <c r="AGF4" s="63"/>
      <c r="AGG4" s="63"/>
      <c r="AGH4" s="63"/>
      <c r="AGI4" s="63"/>
      <c r="AGJ4" s="63"/>
      <c r="AGK4" s="63"/>
      <c r="AGL4" s="63"/>
      <c r="AGM4" s="63"/>
      <c r="AGN4" s="63"/>
      <c r="AGO4" s="63"/>
      <c r="AGP4" s="63"/>
      <c r="AGQ4" s="63"/>
      <c r="AGR4" s="63"/>
      <c r="AGS4" s="63"/>
      <c r="AGT4" s="63"/>
      <c r="AGU4" s="63"/>
      <c r="AGV4" s="63"/>
      <c r="AGW4" s="63"/>
      <c r="AGX4" s="63"/>
      <c r="AGY4" s="63"/>
      <c r="AGZ4" s="63"/>
      <c r="AHA4" s="63"/>
      <c r="AHB4" s="63"/>
      <c r="AHC4" s="63"/>
      <c r="AHD4" s="63"/>
      <c r="AHE4" s="63"/>
      <c r="AHF4" s="63"/>
      <c r="AHG4" s="63"/>
      <c r="AHH4" s="63"/>
      <c r="AHI4" s="63"/>
      <c r="AHJ4" s="63"/>
      <c r="AHK4" s="63"/>
      <c r="AHL4" s="63"/>
      <c r="AHM4" s="63"/>
      <c r="AHN4" s="63"/>
      <c r="AHO4" s="63"/>
      <c r="AHP4" s="63"/>
      <c r="AHQ4" s="63"/>
      <c r="AHR4" s="63"/>
      <c r="AHS4" s="63"/>
      <c r="AHT4" s="63"/>
      <c r="AHU4" s="63"/>
      <c r="AHV4" s="63"/>
      <c r="AHW4" s="63"/>
      <c r="AHX4" s="63"/>
      <c r="AHY4" s="63"/>
      <c r="AHZ4" s="63"/>
      <c r="AIA4" s="63"/>
      <c r="AIB4" s="63"/>
      <c r="AIC4" s="63"/>
      <c r="AID4" s="63"/>
      <c r="AIE4" s="63"/>
      <c r="AIF4" s="63"/>
      <c r="AIG4" s="63"/>
      <c r="AIH4" s="63"/>
      <c r="AII4" s="63"/>
      <c r="AIJ4" s="63"/>
      <c r="AIK4" s="63"/>
      <c r="AIL4" s="63"/>
      <c r="AIM4" s="63"/>
      <c r="AIN4" s="63"/>
      <c r="AIO4" s="63"/>
      <c r="AIP4" s="63"/>
      <c r="AIQ4" s="63"/>
      <c r="AIR4" s="63"/>
      <c r="AIS4" s="63"/>
      <c r="AIT4" s="63"/>
      <c r="AIU4" s="63"/>
      <c r="AIV4" s="63"/>
      <c r="AIW4" s="63"/>
      <c r="AIX4" s="63"/>
      <c r="AIY4" s="63"/>
      <c r="AIZ4" s="63"/>
      <c r="AJA4" s="63"/>
      <c r="AJB4" s="63"/>
      <c r="AJC4" s="63"/>
      <c r="AJD4" s="63"/>
      <c r="AJE4" s="63"/>
      <c r="AJF4" s="63"/>
      <c r="AJG4" s="63"/>
      <c r="AJH4" s="63"/>
      <c r="AJI4" s="63"/>
      <c r="AJJ4" s="63"/>
      <c r="AJK4" s="63"/>
      <c r="AJL4" s="63"/>
      <c r="AJM4" s="63"/>
      <c r="AJN4" s="63"/>
      <c r="AJO4" s="63"/>
      <c r="AJP4" s="63"/>
      <c r="AJQ4" s="63"/>
      <c r="AJR4" s="63"/>
      <c r="AJS4" s="63"/>
      <c r="AJT4" s="63"/>
      <c r="AJU4" s="63"/>
      <c r="AJV4" s="63"/>
      <c r="AJW4" s="63"/>
      <c r="AJX4" s="63"/>
      <c r="AJY4" s="63"/>
      <c r="AJZ4" s="63"/>
      <c r="AKA4" s="63"/>
      <c r="AKB4" s="63"/>
      <c r="AKC4" s="63"/>
      <c r="AKD4" s="63"/>
      <c r="AKE4" s="63"/>
      <c r="AKF4" s="63"/>
      <c r="AKG4" s="63"/>
      <c r="AKH4" s="63"/>
      <c r="AKI4" s="63"/>
      <c r="AKJ4" s="63"/>
      <c r="AKK4" s="63"/>
      <c r="AKL4" s="63"/>
      <c r="AKM4" s="63"/>
      <c r="AKN4" s="63"/>
      <c r="AKO4" s="63"/>
      <c r="AKP4" s="63"/>
      <c r="AKQ4" s="63"/>
      <c r="AKR4" s="63"/>
      <c r="AKS4" s="63"/>
      <c r="AKT4" s="63"/>
      <c r="AKU4" s="63"/>
      <c r="AKV4" s="63"/>
      <c r="AKW4" s="63"/>
      <c r="AKX4" s="63"/>
      <c r="AKY4" s="63"/>
      <c r="AKZ4" s="63"/>
      <c r="ALA4" s="63"/>
      <c r="ALB4" s="63"/>
      <c r="ALC4" s="63"/>
      <c r="ALD4" s="63"/>
      <c r="ALE4" s="63"/>
      <c r="ALF4" s="63"/>
      <c r="ALG4" s="63"/>
      <c r="ALH4" s="63"/>
      <c r="ALI4" s="63"/>
      <c r="ALJ4" s="63"/>
      <c r="ALK4" s="63"/>
      <c r="ALL4" s="63"/>
      <c r="ALM4" s="63"/>
      <c r="ALN4" s="63"/>
      <c r="ALO4" s="63"/>
      <c r="ALP4" s="63"/>
      <c r="ALQ4" s="63"/>
      <c r="ALR4" s="63"/>
      <c r="ALS4" s="63"/>
      <c r="ALT4" s="63"/>
      <c r="ALU4" s="63"/>
      <c r="ALV4" s="63"/>
      <c r="ALW4" s="63"/>
      <c r="ALX4" s="63"/>
      <c r="ALY4" s="63"/>
      <c r="ALZ4" s="63"/>
      <c r="AMA4" s="63"/>
      <c r="AMB4" s="63"/>
      <c r="AMC4" s="63"/>
      <c r="AMD4" s="63"/>
      <c r="AME4" s="63"/>
      <c r="AMF4" s="63"/>
      <c r="AMG4" s="63"/>
      <c r="AMH4" s="63"/>
      <c r="AMI4" s="63"/>
      <c r="AMJ4" s="63"/>
      <c r="AMK4" s="63"/>
      <c r="AML4" s="63"/>
    </row>
    <row r="5" spans="1:1026" x14ac:dyDescent="0.25">
      <c r="A5" s="35" t="s">
        <v>140</v>
      </c>
      <c r="B5" s="36"/>
      <c r="C5" s="37">
        <f>engeletr!D33</f>
        <v>13144.560000000001</v>
      </c>
      <c r="D5" s="36"/>
      <c r="E5" s="37">
        <f>encrefig!D33</f>
        <v>4117.2719999999999</v>
      </c>
      <c r="F5" s="36"/>
      <c r="G5" s="37">
        <f>enceletr!D33</f>
        <v>4460.3779999999997</v>
      </c>
      <c r="H5" s="36"/>
      <c r="I5" s="37">
        <f>enccivil!D33</f>
        <v>4117.2719999999999</v>
      </c>
      <c r="J5" s="36"/>
      <c r="K5" s="37">
        <f>tectele!D33</f>
        <v>2675.4960000000001</v>
      </c>
      <c r="L5" s="36"/>
      <c r="M5" s="37">
        <f>teceletro!D33</f>
        <v>2898.4539999999997</v>
      </c>
      <c r="N5" s="36"/>
      <c r="O5" s="37">
        <f>tecrefrig!D33</f>
        <v>2675.4960000000001</v>
      </c>
      <c r="P5" s="36"/>
      <c r="Q5" s="37">
        <f>eletric!D33</f>
        <v>2898.4539999999997</v>
      </c>
      <c r="R5" s="36"/>
      <c r="S5" s="37">
        <f>ajmontD!D33</f>
        <v>1680.2640000000001</v>
      </c>
      <c r="T5" s="36"/>
      <c r="U5" s="37">
        <f>ajmontN!D33</f>
        <v>2385.9748800000002</v>
      </c>
      <c r="V5" s="36"/>
      <c r="W5" s="37">
        <f>auxcivil!D33</f>
        <v>2675.4960000000001</v>
      </c>
      <c r="X5" s="36"/>
      <c r="Y5" s="37">
        <f>pintorN!D33</f>
        <v>3799.2043199999998</v>
      </c>
      <c r="Z5" s="36"/>
      <c r="AA5" s="37">
        <f>auxtelha!D33</f>
        <v>2675.4960000000001</v>
      </c>
      <c r="AB5" s="36"/>
      <c r="AC5" s="37">
        <f>tecseg!D33</f>
        <v>3472.5479999999998</v>
      </c>
      <c r="AMK5" s="33"/>
      <c r="AML5" s="33"/>
    </row>
    <row r="6" spans="1:1026" x14ac:dyDescent="0.25">
      <c r="A6" s="35" t="s">
        <v>141</v>
      </c>
      <c r="B6" s="38">
        <f>engeletr!C57</f>
        <v>0.36800000000000005</v>
      </c>
      <c r="C6" s="39">
        <f>TRUNC(B6*C5,2)</f>
        <v>4837.1899999999996</v>
      </c>
      <c r="D6" s="38">
        <f>encrefig!C57</f>
        <v>0.36800000000000005</v>
      </c>
      <c r="E6" s="39">
        <f>TRUNC(D6*E5,2)</f>
        <v>1515.15</v>
      </c>
      <c r="F6" s="38">
        <f>enceletr!C57</f>
        <v>0.36800000000000005</v>
      </c>
      <c r="G6" s="39">
        <f>TRUNC(F6*G5,2)</f>
        <v>1641.41</v>
      </c>
      <c r="H6" s="38">
        <f>enccivil!C57</f>
        <v>0.36800000000000005</v>
      </c>
      <c r="I6" s="39">
        <f>TRUNC(H6*I5,2)</f>
        <v>1515.15</v>
      </c>
      <c r="J6" s="38">
        <f>tectele!C57</f>
        <v>0.36800000000000005</v>
      </c>
      <c r="K6" s="39">
        <f>TRUNC(J6*K5,2)</f>
        <v>984.58</v>
      </c>
      <c r="L6" s="38">
        <f>teceletro!C57</f>
        <v>0.36800000000000005</v>
      </c>
      <c r="M6" s="39">
        <f>TRUNC(L6*M5,2)</f>
        <v>1066.6300000000001</v>
      </c>
      <c r="N6" s="38">
        <f>tecrefrig!C57</f>
        <v>0.36800000000000005</v>
      </c>
      <c r="O6" s="39">
        <f>TRUNC(N6*O5,2)</f>
        <v>984.58</v>
      </c>
      <c r="P6" s="38">
        <f>eletric!C57</f>
        <v>0.36800000000000005</v>
      </c>
      <c r="Q6" s="39">
        <f>TRUNC(P6*Q5,2)</f>
        <v>1066.6300000000001</v>
      </c>
      <c r="R6" s="38">
        <f>ajmontD!C57</f>
        <v>0.36800000000000005</v>
      </c>
      <c r="S6" s="39">
        <f>TRUNC(R6*S5,2)</f>
        <v>618.33000000000004</v>
      </c>
      <c r="T6" s="38">
        <f>ajmontN!C57</f>
        <v>0.36800000000000005</v>
      </c>
      <c r="U6" s="39">
        <f>TRUNC(T6*U5,2)</f>
        <v>878.03</v>
      </c>
      <c r="V6" s="38">
        <f>auxcivil!C57</f>
        <v>0.36800000000000005</v>
      </c>
      <c r="W6" s="39">
        <f>TRUNC(V6*W5,2)</f>
        <v>984.58</v>
      </c>
      <c r="X6" s="38">
        <f>pintorN!C57</f>
        <v>0.36800000000000005</v>
      </c>
      <c r="Y6" s="39">
        <f>TRUNC(X6*Y5,2)</f>
        <v>1398.1</v>
      </c>
      <c r="Z6" s="38">
        <f>auxtelha!C57</f>
        <v>0.36800000000000005</v>
      </c>
      <c r="AA6" s="39">
        <f>TRUNC(Z6*AA5,2)</f>
        <v>984.58</v>
      </c>
      <c r="AB6" s="38">
        <f>tecseg!C57</f>
        <v>0.36800000000000005</v>
      </c>
      <c r="AC6" s="39">
        <f>TRUNC(AB6*AC5,2)</f>
        <v>1277.8900000000001</v>
      </c>
      <c r="AMK6" s="33"/>
      <c r="AML6" s="33"/>
    </row>
    <row r="7" spans="1:1026" x14ac:dyDescent="0.25">
      <c r="A7" s="35" t="s">
        <v>200</v>
      </c>
      <c r="B7" s="38">
        <f>engeletr!C143</f>
        <v>0.21840000000000001</v>
      </c>
      <c r="C7" s="39">
        <f>TRUNC((C5+C6)*B7,2)</f>
        <v>3927.21</v>
      </c>
      <c r="D7" s="38">
        <f>encrefig!C143</f>
        <v>0.21840000000000001</v>
      </c>
      <c r="E7" s="39">
        <f>TRUNC((E5+E6)*D7,2)</f>
        <v>1230.1199999999999</v>
      </c>
      <c r="F7" s="38">
        <f>enceletr!C143</f>
        <v>0.21840000000000001</v>
      </c>
      <c r="G7" s="39">
        <f>TRUNC((G5+G6)*F7,2)</f>
        <v>1332.63</v>
      </c>
      <c r="H7" s="38">
        <f>enccivil!C143</f>
        <v>0.21840000000000001</v>
      </c>
      <c r="I7" s="39">
        <f>TRUNC((I5+I6)*H7,2)</f>
        <v>1230.1199999999999</v>
      </c>
      <c r="J7" s="38">
        <f>tectele!C143</f>
        <v>0.21840000000000001</v>
      </c>
      <c r="K7" s="39">
        <f>TRUNC((K5+K6)*J7,2)</f>
        <v>799.36</v>
      </c>
      <c r="L7" s="38">
        <f>teceletro!C143</f>
        <v>0.21840000000000001</v>
      </c>
      <c r="M7" s="39">
        <f>TRUNC((M5+M6)*L7,2)</f>
        <v>865.97</v>
      </c>
      <c r="N7" s="38">
        <f>tecrefrig!C143</f>
        <v>0.21840000000000001</v>
      </c>
      <c r="O7" s="39">
        <f>TRUNC((O5+O6)*N7,2)</f>
        <v>799.36</v>
      </c>
      <c r="P7" s="38">
        <f>eletric!C143</f>
        <v>0.21840000000000001</v>
      </c>
      <c r="Q7" s="39">
        <f>TRUNC((Q5+Q6)*P7,2)</f>
        <v>865.97</v>
      </c>
      <c r="R7" s="38">
        <f>ajmontD!C143</f>
        <v>0.21840000000000001</v>
      </c>
      <c r="S7" s="39">
        <f>TRUNC((S5+S6)*R7,2)</f>
        <v>502.01</v>
      </c>
      <c r="T7" s="38">
        <f>ajmontN!C143</f>
        <v>0.21840000000000001</v>
      </c>
      <c r="U7" s="39">
        <f>TRUNC((U5+U6)*T7,2)</f>
        <v>712.85</v>
      </c>
      <c r="V7" s="38">
        <f>auxcivil!C143</f>
        <v>0.21840000000000001</v>
      </c>
      <c r="W7" s="39">
        <f>TRUNC((W5+W6)*V7,2)</f>
        <v>799.36</v>
      </c>
      <c r="X7" s="38">
        <f>pintorN!C143</f>
        <v>0.21840000000000001</v>
      </c>
      <c r="Y7" s="39">
        <f>TRUNC((Y5+Y6)*X7,2)</f>
        <v>1135.0899999999999</v>
      </c>
      <c r="Z7" s="38">
        <f>auxtelha!C143</f>
        <v>0.21840000000000001</v>
      </c>
      <c r="AA7" s="39">
        <f>TRUNC((AA5+AA6)*Z7,2)</f>
        <v>799.36</v>
      </c>
      <c r="AB7" s="38">
        <f>tecseg!C143</f>
        <v>0.21840000000000001</v>
      </c>
      <c r="AC7" s="39">
        <f>TRUNC((AC5+AC6)*AB7,2)</f>
        <v>1037.49</v>
      </c>
      <c r="AMK7" s="33"/>
      <c r="AML7" s="33"/>
    </row>
    <row r="8" spans="1:1026" x14ac:dyDescent="0.25">
      <c r="A8" s="35" t="s">
        <v>142</v>
      </c>
      <c r="B8" s="36"/>
      <c r="C8" s="37">
        <f>SUM(C5:C7)</f>
        <v>21908.959999999999</v>
      </c>
      <c r="D8" s="36"/>
      <c r="E8" s="37">
        <f>SUM(E5:E7)</f>
        <v>6862.5420000000004</v>
      </c>
      <c r="F8" s="36"/>
      <c r="G8" s="37">
        <f>SUM(G5:G7)</f>
        <v>7434.4179999999997</v>
      </c>
      <c r="H8" s="36"/>
      <c r="I8" s="37">
        <f>SUM(I5:I7)</f>
        <v>6862.5420000000004</v>
      </c>
      <c r="J8" s="36"/>
      <c r="K8" s="37">
        <f>SUM(K5:K7)</f>
        <v>4459.4359999999997</v>
      </c>
      <c r="L8" s="36"/>
      <c r="M8" s="37">
        <f>SUM(M5:M7)</f>
        <v>4831.0540000000001</v>
      </c>
      <c r="N8" s="36"/>
      <c r="O8" s="37">
        <f>SUM(O5:O7)</f>
        <v>4459.4359999999997</v>
      </c>
      <c r="P8" s="36"/>
      <c r="Q8" s="37">
        <f>SUM(Q5:Q7)</f>
        <v>4831.0540000000001</v>
      </c>
      <c r="R8" s="36"/>
      <c r="S8" s="37">
        <f>SUM(S5:S7)</f>
        <v>2800.6040000000003</v>
      </c>
      <c r="T8" s="36"/>
      <c r="U8" s="37">
        <f>SUM(U5:U7)</f>
        <v>3976.8548800000003</v>
      </c>
      <c r="V8" s="36"/>
      <c r="W8" s="37">
        <f>SUM(W5:W7)</f>
        <v>4459.4359999999997</v>
      </c>
      <c r="X8" s="36"/>
      <c r="Y8" s="37">
        <f>SUM(Y5:Y7)</f>
        <v>6332.3943199999994</v>
      </c>
      <c r="Z8" s="36"/>
      <c r="AA8" s="37">
        <f>SUM(AA5:AA7)</f>
        <v>4459.4359999999997</v>
      </c>
      <c r="AB8" s="36"/>
      <c r="AC8" s="37">
        <f>SUM(AC5:AC7)</f>
        <v>5787.9279999999999</v>
      </c>
      <c r="AMK8" s="33"/>
      <c r="AML8" s="33"/>
    </row>
    <row r="9" spans="1:1026" x14ac:dyDescent="0.25">
      <c r="A9" s="35" t="s">
        <v>143</v>
      </c>
      <c r="B9" s="36"/>
      <c r="C9" s="37">
        <f>TRUNC(C8/220,2)</f>
        <v>99.58</v>
      </c>
      <c r="D9" s="36"/>
      <c r="E9" s="37">
        <f>TRUNC(E8/220,2)</f>
        <v>31.19</v>
      </c>
      <c r="F9" s="36"/>
      <c r="G9" s="37">
        <f>TRUNC(G8/220,2)</f>
        <v>33.79</v>
      </c>
      <c r="H9" s="36"/>
      <c r="I9" s="37">
        <f>TRUNC(I8/220,2)</f>
        <v>31.19</v>
      </c>
      <c r="J9" s="36"/>
      <c r="K9" s="37">
        <f>TRUNC(K8/220,2)</f>
        <v>20.27</v>
      </c>
      <c r="L9" s="36"/>
      <c r="M9" s="37">
        <f>TRUNC(M8/220,2)</f>
        <v>21.95</v>
      </c>
      <c r="N9" s="36"/>
      <c r="O9" s="37">
        <f>TRUNC(O8/220,2)</f>
        <v>20.27</v>
      </c>
      <c r="P9" s="36"/>
      <c r="Q9" s="37">
        <f>TRUNC(Q8/220,2)</f>
        <v>21.95</v>
      </c>
      <c r="R9" s="36"/>
      <c r="S9" s="37">
        <f>TRUNC(S8/220,2)</f>
        <v>12.73</v>
      </c>
      <c r="T9" s="36"/>
      <c r="U9" s="37">
        <f>TRUNC(U8/220,2)</f>
        <v>18.07</v>
      </c>
      <c r="V9" s="36"/>
      <c r="W9" s="37">
        <f>TRUNC(W8/220,2)</f>
        <v>20.27</v>
      </c>
      <c r="X9" s="36"/>
      <c r="Y9" s="37">
        <f>TRUNC(Y8/220,2)</f>
        <v>28.78</v>
      </c>
      <c r="Z9" s="36"/>
      <c r="AA9" s="37">
        <f>TRUNC(AA8/220,2)</f>
        <v>20.27</v>
      </c>
      <c r="AB9" s="36"/>
      <c r="AC9" s="37">
        <f>TRUNC(AC8/220,2)</f>
        <v>26.3</v>
      </c>
      <c r="AMK9" s="33"/>
      <c r="AML9" s="33"/>
    </row>
    <row r="10" spans="1:1026" x14ac:dyDescent="0.25">
      <c r="A10" s="35" t="s">
        <v>144</v>
      </c>
      <c r="B10" s="40">
        <v>0.5</v>
      </c>
      <c r="C10" s="39">
        <f>TRUNC(C9*(1+B10),2)</f>
        <v>149.37</v>
      </c>
      <c r="D10" s="40">
        <v>0.5</v>
      </c>
      <c r="E10" s="39">
        <f>TRUNC(E9*(1+D10),2)</f>
        <v>46.78</v>
      </c>
      <c r="F10" s="40">
        <v>0.5</v>
      </c>
      <c r="G10" s="39">
        <f>TRUNC(G9*(1+F10),2)</f>
        <v>50.68</v>
      </c>
      <c r="H10" s="40">
        <v>0.5</v>
      </c>
      <c r="I10" s="39">
        <f>TRUNC(I9*(1+H10),2)</f>
        <v>46.78</v>
      </c>
      <c r="J10" s="40">
        <v>0.5</v>
      </c>
      <c r="K10" s="39">
        <f>TRUNC(K9*(1+J10),2)</f>
        <v>30.4</v>
      </c>
      <c r="L10" s="40">
        <v>0.5</v>
      </c>
      <c r="M10" s="39">
        <f>TRUNC(M9*(1+L10),2)</f>
        <v>32.92</v>
      </c>
      <c r="N10" s="40">
        <v>0.5</v>
      </c>
      <c r="O10" s="39">
        <f>TRUNC(O9*(1+N10),2)</f>
        <v>30.4</v>
      </c>
      <c r="P10" s="40">
        <v>0.5</v>
      </c>
      <c r="Q10" s="39">
        <f>TRUNC(Q9*(1+P10),2)</f>
        <v>32.92</v>
      </c>
      <c r="R10" s="40">
        <v>0.5</v>
      </c>
      <c r="S10" s="39">
        <f>TRUNC(S9*(1+R10),2)</f>
        <v>19.09</v>
      </c>
      <c r="T10" s="40">
        <v>0.5</v>
      </c>
      <c r="U10" s="39">
        <f>TRUNC(U9*(1+T10),2)</f>
        <v>27.1</v>
      </c>
      <c r="V10" s="40">
        <v>0.5</v>
      </c>
      <c r="W10" s="39">
        <f>TRUNC(W9*(1+V10),2)</f>
        <v>30.4</v>
      </c>
      <c r="X10" s="40">
        <v>0.5</v>
      </c>
      <c r="Y10" s="39">
        <f>TRUNC(Y9*(1+X10),2)</f>
        <v>43.17</v>
      </c>
      <c r="Z10" s="40">
        <v>0.5</v>
      </c>
      <c r="AA10" s="39">
        <f>TRUNC(AA9*(1+Z10),2)</f>
        <v>30.4</v>
      </c>
      <c r="AB10" s="40">
        <v>0.5</v>
      </c>
      <c r="AC10" s="39">
        <f>TRUNC(AC9*(1+AB10),2)</f>
        <v>39.450000000000003</v>
      </c>
      <c r="AMK10" s="33"/>
      <c r="AML10" s="33"/>
    </row>
    <row r="11" spans="1:1026" x14ac:dyDescent="0.25">
      <c r="A11" s="35" t="s">
        <v>145</v>
      </c>
      <c r="B11" s="40">
        <v>0.5</v>
      </c>
      <c r="C11" s="39">
        <f>TRUNC(C9*(1+B11),2)</f>
        <v>149.37</v>
      </c>
      <c r="D11" s="40">
        <v>0.7</v>
      </c>
      <c r="E11" s="39">
        <f>TRUNC(E9*(1+D11),2)</f>
        <v>53.02</v>
      </c>
      <c r="F11" s="40">
        <v>0.7</v>
      </c>
      <c r="G11" s="39">
        <f>TRUNC(G9*(1+F11),2)</f>
        <v>57.44</v>
      </c>
      <c r="H11" s="40">
        <v>0.7</v>
      </c>
      <c r="I11" s="39">
        <f>TRUNC(I9*(1+H11),2)</f>
        <v>53.02</v>
      </c>
      <c r="J11" s="40">
        <v>0.7</v>
      </c>
      <c r="K11" s="39">
        <f>TRUNC(K9*(1+J11),2)</f>
        <v>34.450000000000003</v>
      </c>
      <c r="L11" s="40">
        <v>0.7</v>
      </c>
      <c r="M11" s="39">
        <f>TRUNC(M9*(1+L11),2)</f>
        <v>37.31</v>
      </c>
      <c r="N11" s="40">
        <v>0.7</v>
      </c>
      <c r="O11" s="39">
        <f>TRUNC(O9*(1+N11),2)</f>
        <v>34.450000000000003</v>
      </c>
      <c r="P11" s="40">
        <v>0.7</v>
      </c>
      <c r="Q11" s="39">
        <f>TRUNC(Q9*(1+P11),2)</f>
        <v>37.31</v>
      </c>
      <c r="R11" s="40">
        <v>0.7</v>
      </c>
      <c r="S11" s="39">
        <f>TRUNC(S9*(1+R11),2)</f>
        <v>21.64</v>
      </c>
      <c r="T11" s="40">
        <v>0.7</v>
      </c>
      <c r="U11" s="39">
        <f>TRUNC(U9*(1+T11),2)</f>
        <v>30.71</v>
      </c>
      <c r="V11" s="40">
        <v>0.7</v>
      </c>
      <c r="W11" s="39">
        <f>TRUNC(W9*(1+V11),2)</f>
        <v>34.450000000000003</v>
      </c>
      <c r="X11" s="40">
        <v>0.7</v>
      </c>
      <c r="Y11" s="39">
        <f>TRUNC(Y9*(1+X11),2)</f>
        <v>48.92</v>
      </c>
      <c r="Z11" s="40">
        <v>0.7</v>
      </c>
      <c r="AA11" s="39">
        <f>TRUNC(AA9*(1+Z11),2)</f>
        <v>34.450000000000003</v>
      </c>
      <c r="AB11" s="40">
        <v>0.5</v>
      </c>
      <c r="AC11" s="39">
        <f>TRUNC(AC9*(1+AB11),2)</f>
        <v>39.450000000000003</v>
      </c>
      <c r="AMK11" s="33"/>
      <c r="AML11" s="33"/>
    </row>
    <row r="12" spans="1:1026" x14ac:dyDescent="0.25">
      <c r="A12" s="35" t="s">
        <v>146</v>
      </c>
      <c r="B12" s="40">
        <v>1</v>
      </c>
      <c r="C12" s="39">
        <f>TRUNC(C9*(1+B12),2)</f>
        <v>199.16</v>
      </c>
      <c r="D12" s="40">
        <v>1.1000000000000001</v>
      </c>
      <c r="E12" s="39">
        <f>TRUNC(E9*(1+D12),2)</f>
        <v>65.489999999999995</v>
      </c>
      <c r="F12" s="40">
        <v>1.1000000000000001</v>
      </c>
      <c r="G12" s="39">
        <f>TRUNC(G9*(1+F12),2)</f>
        <v>70.95</v>
      </c>
      <c r="H12" s="40">
        <v>1.1000000000000001</v>
      </c>
      <c r="I12" s="39">
        <f>TRUNC(I9*(1+H12),2)</f>
        <v>65.489999999999995</v>
      </c>
      <c r="J12" s="40">
        <v>1.1000000000000001</v>
      </c>
      <c r="K12" s="39">
        <f>TRUNC(K9*(1+J12),2)</f>
        <v>42.56</v>
      </c>
      <c r="L12" s="40">
        <v>1.1000000000000001</v>
      </c>
      <c r="M12" s="39">
        <f>TRUNC(M9*(1+L12),2)</f>
        <v>46.09</v>
      </c>
      <c r="N12" s="40">
        <v>1.1000000000000001</v>
      </c>
      <c r="O12" s="39">
        <f>TRUNC(O9*(1+N12),2)</f>
        <v>42.56</v>
      </c>
      <c r="P12" s="40">
        <v>1.1000000000000001</v>
      </c>
      <c r="Q12" s="39">
        <f>TRUNC(Q9*(1+P12),2)</f>
        <v>46.09</v>
      </c>
      <c r="R12" s="40">
        <v>1.1000000000000001</v>
      </c>
      <c r="S12" s="39">
        <f>TRUNC(S9*(1+R12),2)</f>
        <v>26.73</v>
      </c>
      <c r="T12" s="40">
        <v>1.1000000000000001</v>
      </c>
      <c r="U12" s="39">
        <f>TRUNC(U9*(1+T12),2)</f>
        <v>37.94</v>
      </c>
      <c r="V12" s="40">
        <v>1.1000000000000001</v>
      </c>
      <c r="W12" s="39">
        <f>TRUNC(W9*(1+V12),2)</f>
        <v>42.56</v>
      </c>
      <c r="X12" s="40">
        <v>1.1000000000000001</v>
      </c>
      <c r="Y12" s="39">
        <f>TRUNC(Y9*(1+X12),2)</f>
        <v>60.43</v>
      </c>
      <c r="Z12" s="40">
        <v>1.1000000000000001</v>
      </c>
      <c r="AA12" s="39">
        <f>TRUNC(AA9*(1+Z12),2)</f>
        <v>42.56</v>
      </c>
      <c r="AB12" s="40">
        <v>1</v>
      </c>
      <c r="AC12" s="39">
        <f>TRUNC(AC9*(1+AB12),2)</f>
        <v>52.6</v>
      </c>
      <c r="AMK12" s="33"/>
      <c r="AML12" s="33"/>
    </row>
    <row r="13" spans="1:1026" x14ac:dyDescent="0.25">
      <c r="A13" s="75"/>
      <c r="B13" s="76"/>
      <c r="C13" s="77"/>
      <c r="D13" s="76"/>
      <c r="E13" s="77"/>
      <c r="F13" s="76"/>
      <c r="G13" s="77"/>
      <c r="H13" s="76"/>
      <c r="I13" s="77"/>
      <c r="J13" s="76"/>
      <c r="K13" s="77"/>
      <c r="L13" s="76"/>
      <c r="M13" s="77"/>
      <c r="N13" s="76"/>
      <c r="O13" s="77"/>
      <c r="P13" s="76"/>
      <c r="Q13" s="77"/>
      <c r="R13" s="76"/>
      <c r="S13" s="77"/>
      <c r="T13" s="76"/>
      <c r="U13" s="77"/>
      <c r="V13" s="76"/>
      <c r="W13" s="77"/>
      <c r="X13" s="76"/>
      <c r="Y13" s="77"/>
      <c r="Z13" s="76"/>
      <c r="AA13" s="77"/>
      <c r="AB13" s="76"/>
      <c r="AC13" s="77"/>
      <c r="AMK13" s="33"/>
      <c r="AML13" s="33"/>
    </row>
    <row r="14" spans="1:1026" x14ac:dyDescent="0.25">
      <c r="A14" s="87" t="s">
        <v>198</v>
      </c>
      <c r="B14" s="79"/>
      <c r="C14" s="80"/>
      <c r="D14" s="79"/>
      <c r="E14" s="80"/>
      <c r="F14" s="79"/>
      <c r="G14" s="80"/>
      <c r="H14" s="79"/>
      <c r="I14" s="80"/>
      <c r="J14" s="79"/>
      <c r="K14" s="80"/>
      <c r="L14" s="79"/>
      <c r="M14" s="80"/>
      <c r="N14" s="79"/>
      <c r="O14" s="80"/>
      <c r="P14" s="79"/>
      <c r="Q14" s="80"/>
      <c r="R14" s="79"/>
      <c r="S14" s="80"/>
      <c r="T14" s="79"/>
      <c r="U14" s="80"/>
      <c r="V14" s="79"/>
      <c r="W14" s="80"/>
      <c r="X14" s="79"/>
      <c r="Y14" s="80"/>
      <c r="Z14" s="79"/>
      <c r="AA14" s="80"/>
      <c r="AB14" s="79"/>
      <c r="AC14" s="80"/>
      <c r="AMK14" s="33"/>
      <c r="AML14" s="33"/>
    </row>
    <row r="15" spans="1:1026" ht="89.25" customHeight="1" x14ac:dyDescent="0.25">
      <c r="A15" s="62" t="s">
        <v>139</v>
      </c>
      <c r="B15" s="119" t="str">
        <f>engeletr!A13</f>
        <v>Engenheiro Eletricista (Supervisor)</v>
      </c>
      <c r="C15" s="120"/>
      <c r="D15" s="119" t="str">
        <f>encrefig!A13</f>
        <v>Encarregado - Refrigeração</v>
      </c>
      <c r="E15" s="120"/>
      <c r="F15" s="119" t="str">
        <f>enceletr!A13</f>
        <v xml:space="preserve">Encarregado - Elétrica </v>
      </c>
      <c r="G15" s="120"/>
      <c r="H15" s="119" t="str">
        <f>enccivil!A13</f>
        <v>Encarregado - Civil</v>
      </c>
      <c r="I15" s="120"/>
      <c r="J15" s="119" t="str">
        <f>tectele!A13</f>
        <v>Técnico em Redes e Telecomunicações</v>
      </c>
      <c r="K15" s="120"/>
      <c r="L15" s="119" t="str">
        <f>teceletro!A13</f>
        <v>Técnico em Eletromecânica</v>
      </c>
      <c r="M15" s="120"/>
      <c r="N15" s="119" t="str">
        <f>tecrefrig!A13</f>
        <v>Técnico em Refrigeração</v>
      </c>
      <c r="O15" s="120"/>
      <c r="P15" s="119" t="str">
        <f>eletric!A13</f>
        <v>Eletricista</v>
      </c>
      <c r="Q15" s="120"/>
      <c r="R15" s="119" t="str">
        <f>ajmontD!A13</f>
        <v>Ajudante de Montagem e Manutenção (Servente Prático) - diurno</v>
      </c>
      <c r="S15" s="120"/>
      <c r="T15" s="119" t="str">
        <f>ajmontN!A13</f>
        <v>Ajudante de Montagem e Manutenção (Servente Prático) - noturno</v>
      </c>
      <c r="U15" s="120"/>
      <c r="V15" s="119" t="str">
        <f>auxcivil!A13</f>
        <v xml:space="preserve">Auxiliar Técnico – Civil (pequenas obras e adequações prediais) </v>
      </c>
      <c r="W15" s="120"/>
      <c r="X15" s="119" t="str">
        <f>pintorN!A13</f>
        <v>Pintor Industrial (Estruturas Metálicas) - noturno</v>
      </c>
      <c r="Y15" s="120"/>
      <c r="Z15" s="119" t="str">
        <f>auxtelha!A13</f>
        <v>Auxiliar Técnico – Telhadista</v>
      </c>
      <c r="AA15" s="120"/>
      <c r="AB15" s="119" t="str">
        <f>tecseg!A13</f>
        <v xml:space="preserve">Técnico de Segurança no Trabalho Pleno </v>
      </c>
      <c r="AC15" s="120"/>
      <c r="AMK15" s="33"/>
      <c r="AML15" s="33"/>
    </row>
    <row r="16" spans="1:1026" x14ac:dyDescent="0.25">
      <c r="A16" s="35" t="s">
        <v>147</v>
      </c>
      <c r="B16" s="35">
        <v>120</v>
      </c>
      <c r="C16" s="39">
        <f>C10*B16</f>
        <v>17924.400000000001</v>
      </c>
      <c r="D16" s="35">
        <v>120</v>
      </c>
      <c r="E16" s="39">
        <f>E10*D16</f>
        <v>5613.6</v>
      </c>
      <c r="F16" s="35">
        <v>120</v>
      </c>
      <c r="G16" s="39">
        <f>G10*F16</f>
        <v>6081.6</v>
      </c>
      <c r="H16" s="35">
        <v>120</v>
      </c>
      <c r="I16" s="39">
        <f>I10*H16</f>
        <v>5613.6</v>
      </c>
      <c r="J16" s="35">
        <v>110</v>
      </c>
      <c r="K16" s="39">
        <f>K10*J16</f>
        <v>3344</v>
      </c>
      <c r="L16" s="35">
        <v>110</v>
      </c>
      <c r="M16" s="39">
        <f>M10*L16</f>
        <v>3621.2000000000003</v>
      </c>
      <c r="N16" s="35">
        <v>160</v>
      </c>
      <c r="O16" s="39">
        <f>O10*N16</f>
        <v>4864</v>
      </c>
      <c r="P16" s="35">
        <v>120</v>
      </c>
      <c r="Q16" s="39">
        <f>Q10*P16</f>
        <v>3950.4</v>
      </c>
      <c r="R16" s="35">
        <v>120</v>
      </c>
      <c r="S16" s="39">
        <f>S10*R16</f>
        <v>2290.8000000000002</v>
      </c>
      <c r="T16" s="35">
        <v>120</v>
      </c>
      <c r="U16" s="39">
        <f>U10*T16</f>
        <v>3252</v>
      </c>
      <c r="V16" s="35">
        <v>120</v>
      </c>
      <c r="W16" s="39">
        <f>W10*V16</f>
        <v>3648</v>
      </c>
      <c r="X16" s="35">
        <v>120</v>
      </c>
      <c r="Y16" s="39">
        <f>Y10*X16</f>
        <v>5180.4000000000005</v>
      </c>
      <c r="Z16" s="35">
        <v>120</v>
      </c>
      <c r="AA16" s="39">
        <f>AA10*Z16</f>
        <v>3648</v>
      </c>
      <c r="AB16" s="35">
        <v>120</v>
      </c>
      <c r="AC16" s="39">
        <f>AC10*AB16</f>
        <v>4734</v>
      </c>
      <c r="AMK16" s="33"/>
      <c r="AML16" s="33"/>
    </row>
    <row r="17" spans="1:29 1025:1026" x14ac:dyDescent="0.25">
      <c r="A17" s="35" t="s">
        <v>148</v>
      </c>
      <c r="B17" s="35">
        <v>60</v>
      </c>
      <c r="C17" s="39">
        <f>C11*B17</f>
        <v>8962.2000000000007</v>
      </c>
      <c r="D17" s="35">
        <v>60</v>
      </c>
      <c r="E17" s="39">
        <f>E11*D17</f>
        <v>3181.2000000000003</v>
      </c>
      <c r="F17" s="35">
        <v>60</v>
      </c>
      <c r="G17" s="39">
        <f>G11*F17</f>
        <v>3446.3999999999996</v>
      </c>
      <c r="H17" s="35">
        <v>60</v>
      </c>
      <c r="I17" s="39">
        <f>I11*H17</f>
        <v>3181.2000000000003</v>
      </c>
      <c r="J17" s="35">
        <v>60</v>
      </c>
      <c r="K17" s="39">
        <f>K11*J17</f>
        <v>2067</v>
      </c>
      <c r="L17" s="35">
        <v>60</v>
      </c>
      <c r="M17" s="39">
        <f>M11*L17</f>
        <v>2238.6000000000004</v>
      </c>
      <c r="N17" s="35">
        <v>60</v>
      </c>
      <c r="O17" s="39">
        <f>O11*N17</f>
        <v>2067</v>
      </c>
      <c r="P17" s="35">
        <v>60</v>
      </c>
      <c r="Q17" s="39">
        <f>Q11*P17</f>
        <v>2238.6000000000004</v>
      </c>
      <c r="R17" s="35">
        <v>60</v>
      </c>
      <c r="S17" s="39">
        <f>S11*R17</f>
        <v>1298.4000000000001</v>
      </c>
      <c r="T17" s="35">
        <v>60</v>
      </c>
      <c r="U17" s="39">
        <f>U11*T17</f>
        <v>1842.6000000000001</v>
      </c>
      <c r="V17" s="35">
        <v>60</v>
      </c>
      <c r="W17" s="39">
        <f>W11*V17</f>
        <v>2067</v>
      </c>
      <c r="X17" s="35">
        <v>60</v>
      </c>
      <c r="Y17" s="39">
        <f>Y11*X17</f>
        <v>2935.2000000000003</v>
      </c>
      <c r="Z17" s="35">
        <v>60</v>
      </c>
      <c r="AA17" s="39">
        <f>AA11*Z17</f>
        <v>2067</v>
      </c>
      <c r="AB17" s="35">
        <v>60</v>
      </c>
      <c r="AC17" s="39">
        <f>AC11*AB17</f>
        <v>2367</v>
      </c>
      <c r="AMK17" s="33"/>
      <c r="AML17" s="33"/>
    </row>
    <row r="18" spans="1:29 1025:1026" x14ac:dyDescent="0.25">
      <c r="A18" s="35" t="s">
        <v>149</v>
      </c>
      <c r="B18" s="35">
        <v>70</v>
      </c>
      <c r="C18" s="39">
        <f>C12*B18</f>
        <v>13941.199999999999</v>
      </c>
      <c r="D18" s="35">
        <v>70</v>
      </c>
      <c r="E18" s="39">
        <f>E12*D18</f>
        <v>4584.2999999999993</v>
      </c>
      <c r="F18" s="35">
        <v>70</v>
      </c>
      <c r="G18" s="39">
        <f>G12*F18</f>
        <v>4966.5</v>
      </c>
      <c r="H18" s="35">
        <v>70</v>
      </c>
      <c r="I18" s="39">
        <f>I12*H18</f>
        <v>4584.2999999999993</v>
      </c>
      <c r="J18" s="35">
        <v>70</v>
      </c>
      <c r="K18" s="39">
        <f>K12*J18</f>
        <v>2979.2000000000003</v>
      </c>
      <c r="L18" s="35">
        <v>70</v>
      </c>
      <c r="M18" s="39">
        <f>M12*L18</f>
        <v>3226.3</v>
      </c>
      <c r="N18" s="35">
        <v>70</v>
      </c>
      <c r="O18" s="39">
        <f>O12*N18</f>
        <v>2979.2000000000003</v>
      </c>
      <c r="P18" s="35">
        <v>70</v>
      </c>
      <c r="Q18" s="39">
        <f>Q12*P18</f>
        <v>3226.3</v>
      </c>
      <c r="R18" s="35">
        <v>70</v>
      </c>
      <c r="S18" s="39">
        <f>S12*R18</f>
        <v>1871.1000000000001</v>
      </c>
      <c r="T18" s="35">
        <v>70</v>
      </c>
      <c r="U18" s="39">
        <f>U12*T18</f>
        <v>2655.7999999999997</v>
      </c>
      <c r="V18" s="35">
        <v>70</v>
      </c>
      <c r="W18" s="39">
        <f>W12*V18</f>
        <v>2979.2000000000003</v>
      </c>
      <c r="X18" s="35">
        <v>70</v>
      </c>
      <c r="Y18" s="39">
        <f>Y12*X18</f>
        <v>4230.1000000000004</v>
      </c>
      <c r="Z18" s="35">
        <v>70</v>
      </c>
      <c r="AA18" s="39">
        <f>AA12*Z18</f>
        <v>2979.2000000000003</v>
      </c>
      <c r="AB18" s="35">
        <v>70</v>
      </c>
      <c r="AC18" s="39">
        <f>AC12*AB18</f>
        <v>3682</v>
      </c>
      <c r="AMK18" s="33"/>
      <c r="AML18" s="33"/>
    </row>
    <row r="19" spans="1:29 1025:1026" x14ac:dyDescent="0.25">
      <c r="A19" s="35" t="s">
        <v>150</v>
      </c>
      <c r="B19" s="36"/>
      <c r="C19" s="37">
        <f>SUM(C16:C18)</f>
        <v>40827.800000000003</v>
      </c>
      <c r="D19" s="36"/>
      <c r="E19" s="37">
        <f>SUM(E16:E18)</f>
        <v>13379.1</v>
      </c>
      <c r="F19" s="36"/>
      <c r="G19" s="37">
        <f>SUM(G16:G18)</f>
        <v>14494.5</v>
      </c>
      <c r="H19" s="36"/>
      <c r="I19" s="37">
        <f>SUM(I16:I18)</f>
        <v>13379.1</v>
      </c>
      <c r="J19" s="36"/>
      <c r="K19" s="37">
        <f>SUM(K16:K18)</f>
        <v>8390.2000000000007</v>
      </c>
      <c r="L19" s="36"/>
      <c r="M19" s="37">
        <f>SUM(M16:M18)</f>
        <v>9086.1000000000022</v>
      </c>
      <c r="N19" s="36"/>
      <c r="O19" s="37">
        <f>SUM(O16:O18)</f>
        <v>9910.2000000000007</v>
      </c>
      <c r="P19" s="36"/>
      <c r="Q19" s="37">
        <f>SUM(Q16:Q18)</f>
        <v>9415.2999999999993</v>
      </c>
      <c r="R19" s="36"/>
      <c r="S19" s="37">
        <f>SUM(S16:S18)</f>
        <v>5460.3</v>
      </c>
      <c r="T19" s="36"/>
      <c r="U19" s="37">
        <f>SUM(U16:U18)</f>
        <v>7750.4</v>
      </c>
      <c r="V19" s="36"/>
      <c r="W19" s="37">
        <f>SUM(W16:W18)</f>
        <v>8694.2000000000007</v>
      </c>
      <c r="X19" s="36"/>
      <c r="Y19" s="37">
        <f>SUM(Y16:Y18)</f>
        <v>12345.7</v>
      </c>
      <c r="Z19" s="36"/>
      <c r="AA19" s="37">
        <f>SUM(AA16:AA18)</f>
        <v>8694.2000000000007</v>
      </c>
      <c r="AB19" s="36"/>
      <c r="AC19" s="37">
        <f>SUM(AC16:AC18)</f>
        <v>10783</v>
      </c>
      <c r="AMK19" s="33"/>
      <c r="AML19" s="33"/>
    </row>
    <row r="20" spans="1:29 1025:1026" x14ac:dyDescent="0.25">
      <c r="A20" s="35" t="s">
        <v>151</v>
      </c>
      <c r="B20" s="36"/>
      <c r="C20" s="41">
        <f>engeletr!D13</f>
        <v>1</v>
      </c>
      <c r="D20" s="36"/>
      <c r="E20" s="41">
        <f>encrefig!D13</f>
        <v>1</v>
      </c>
      <c r="F20" s="36"/>
      <c r="G20" s="41">
        <f>enceletr!D13</f>
        <v>1</v>
      </c>
      <c r="H20" s="36"/>
      <c r="I20" s="41">
        <f>enccivil!D13</f>
        <v>1</v>
      </c>
      <c r="J20" s="36"/>
      <c r="K20" s="41">
        <f>tectele!D13</f>
        <v>2</v>
      </c>
      <c r="L20" s="36"/>
      <c r="M20" s="41">
        <f>teceletro!D13</f>
        <v>1</v>
      </c>
      <c r="N20" s="36"/>
      <c r="O20" s="41">
        <f>tecrefrig!D13</f>
        <v>2</v>
      </c>
      <c r="P20" s="36"/>
      <c r="Q20" s="41">
        <f>eletric!D13</f>
        <v>2</v>
      </c>
      <c r="R20" s="36"/>
      <c r="S20" s="41">
        <f>ajmontD!D13</f>
        <v>3</v>
      </c>
      <c r="T20" s="36"/>
      <c r="U20" s="41">
        <f>ajmontN!D13</f>
        <v>1</v>
      </c>
      <c r="V20" s="36"/>
      <c r="W20" s="41">
        <f>auxcivil!D13</f>
        <v>2</v>
      </c>
      <c r="X20" s="36"/>
      <c r="Y20" s="41">
        <f>pintorN!D13</f>
        <v>1</v>
      </c>
      <c r="Z20" s="36"/>
      <c r="AA20" s="41">
        <f>auxtelha!D13</f>
        <v>2</v>
      </c>
      <c r="AB20" s="36"/>
      <c r="AC20" s="41">
        <f>tecseg!D13</f>
        <v>1</v>
      </c>
      <c r="AMK20" s="33"/>
      <c r="AML20" s="33"/>
    </row>
    <row r="21" spans="1:29 1025:1026" x14ac:dyDescent="0.25">
      <c r="A21" s="35" t="s">
        <v>201</v>
      </c>
      <c r="B21" s="36"/>
      <c r="C21" s="37">
        <f>C19*C20</f>
        <v>40827.800000000003</v>
      </c>
      <c r="D21" s="36"/>
      <c r="E21" s="37">
        <f>E19*E20</f>
        <v>13379.1</v>
      </c>
      <c r="F21" s="36"/>
      <c r="G21" s="37">
        <f>G19*G20</f>
        <v>14494.5</v>
      </c>
      <c r="H21" s="36"/>
      <c r="I21" s="37">
        <f>I19*I20</f>
        <v>13379.1</v>
      </c>
      <c r="J21" s="36"/>
      <c r="K21" s="37">
        <f>K19*K20</f>
        <v>16780.400000000001</v>
      </c>
      <c r="L21" s="36"/>
      <c r="M21" s="37">
        <f>M19*M20</f>
        <v>9086.1000000000022</v>
      </c>
      <c r="N21" s="36"/>
      <c r="O21" s="37">
        <f>O19*O20</f>
        <v>19820.400000000001</v>
      </c>
      <c r="P21" s="36"/>
      <c r="Q21" s="37">
        <f>Q19*Q20</f>
        <v>18830.599999999999</v>
      </c>
      <c r="R21" s="36"/>
      <c r="S21" s="37">
        <f>S19*S20</f>
        <v>16380.900000000001</v>
      </c>
      <c r="T21" s="36"/>
      <c r="U21" s="37">
        <f>U19*U20</f>
        <v>7750.4</v>
      </c>
      <c r="V21" s="36"/>
      <c r="W21" s="37">
        <f>W19*W20</f>
        <v>17388.400000000001</v>
      </c>
      <c r="X21" s="36"/>
      <c r="Y21" s="37">
        <f>Y19*Y20</f>
        <v>12345.7</v>
      </c>
      <c r="Z21" s="36"/>
      <c r="AA21" s="37">
        <f>AA19*AA20</f>
        <v>17388.400000000001</v>
      </c>
      <c r="AB21" s="36"/>
      <c r="AC21" s="37">
        <f>AC19*AC20</f>
        <v>10783</v>
      </c>
      <c r="AMK21" s="33"/>
      <c r="AML21" s="33"/>
    </row>
    <row r="22" spans="1:29 1025:1026" x14ac:dyDescent="0.25">
      <c r="A22" s="78"/>
      <c r="B22" s="78"/>
      <c r="C22" s="80"/>
      <c r="D22" s="78"/>
      <c r="E22" s="80"/>
      <c r="F22" s="78"/>
      <c r="G22" s="80"/>
      <c r="H22" s="78"/>
      <c r="I22" s="80"/>
      <c r="J22" s="78"/>
      <c r="K22" s="80"/>
      <c r="L22" s="78"/>
      <c r="M22" s="80"/>
      <c r="N22" s="78"/>
      <c r="O22" s="80"/>
      <c r="P22" s="78"/>
      <c r="Q22" s="80"/>
      <c r="R22" s="78"/>
      <c r="S22" s="80"/>
      <c r="T22" s="78"/>
      <c r="U22" s="80"/>
      <c r="V22" s="78"/>
      <c r="W22" s="80"/>
      <c r="X22" s="78"/>
      <c r="Y22" s="80"/>
      <c r="Z22" s="78"/>
      <c r="AA22" s="80"/>
      <c r="AB22" s="78"/>
      <c r="AC22" s="80"/>
      <c r="AMK22" s="33"/>
      <c r="AML22" s="33"/>
    </row>
    <row r="23" spans="1:29 1025:1026" x14ac:dyDescent="0.25">
      <c r="A23" s="87" t="s">
        <v>202</v>
      </c>
      <c r="B23" s="78"/>
      <c r="C23" s="80"/>
      <c r="D23" s="78"/>
      <c r="E23" s="80"/>
      <c r="F23" s="78"/>
      <c r="G23" s="80"/>
      <c r="H23" s="78"/>
      <c r="I23" s="80"/>
      <c r="J23" s="78"/>
      <c r="K23" s="80"/>
      <c r="L23" s="78"/>
      <c r="M23" s="80"/>
      <c r="N23" s="78"/>
      <c r="O23" s="80"/>
      <c r="P23" s="78"/>
      <c r="Q23" s="80"/>
      <c r="R23" s="78"/>
      <c r="S23" s="80"/>
      <c r="T23" s="78"/>
      <c r="U23" s="80"/>
      <c r="V23" s="78"/>
      <c r="W23" s="80"/>
      <c r="X23" s="78"/>
      <c r="Y23" s="80"/>
      <c r="Z23" s="78"/>
      <c r="AA23" s="80"/>
      <c r="AB23" s="78"/>
      <c r="AC23" s="80"/>
      <c r="AMK23" s="33"/>
      <c r="AML23" s="33"/>
    </row>
    <row r="24" spans="1:29 1025:1026" ht="89.25" customHeight="1" x14ac:dyDescent="0.25">
      <c r="A24" s="62" t="s">
        <v>139</v>
      </c>
      <c r="B24" s="119" t="str">
        <f>engeletr!A13</f>
        <v>Engenheiro Eletricista (Supervisor)</v>
      </c>
      <c r="C24" s="120"/>
      <c r="D24" s="119" t="str">
        <f>encrefig!A13</f>
        <v>Encarregado - Refrigeração</v>
      </c>
      <c r="E24" s="120"/>
      <c r="F24" s="119" t="str">
        <f>enceletr!A13</f>
        <v xml:space="preserve">Encarregado - Elétrica </v>
      </c>
      <c r="G24" s="120"/>
      <c r="H24" s="119" t="str">
        <f>enccivil!A13</f>
        <v>Encarregado - Civil</v>
      </c>
      <c r="I24" s="120"/>
      <c r="J24" s="119" t="str">
        <f>tectele!A13</f>
        <v>Técnico em Redes e Telecomunicações</v>
      </c>
      <c r="K24" s="120"/>
      <c r="L24" s="119" t="str">
        <f>teceletro!A13</f>
        <v>Técnico em Eletromecânica</v>
      </c>
      <c r="M24" s="120"/>
      <c r="N24" s="119" t="str">
        <f>tecrefrig!A13</f>
        <v>Técnico em Refrigeração</v>
      </c>
      <c r="O24" s="120"/>
      <c r="P24" s="119" t="str">
        <f>eletric!A13</f>
        <v>Eletricista</v>
      </c>
      <c r="Q24" s="120"/>
      <c r="R24" s="119" t="str">
        <f>ajmontD!A13</f>
        <v>Ajudante de Montagem e Manutenção (Servente Prático) - diurno</v>
      </c>
      <c r="S24" s="120"/>
      <c r="T24" s="119" t="str">
        <f>ajmontN!A13</f>
        <v>Ajudante de Montagem e Manutenção (Servente Prático) - noturno</v>
      </c>
      <c r="U24" s="120"/>
      <c r="V24" s="119" t="str">
        <f>auxcivil!A13</f>
        <v xml:space="preserve">Auxiliar Técnico – Civil (pequenas obras e adequações prediais) </v>
      </c>
      <c r="W24" s="120"/>
      <c r="X24" s="119" t="str">
        <f>pintorN!A13</f>
        <v>Pintor Industrial (Estruturas Metálicas) - noturno</v>
      </c>
      <c r="Y24" s="120"/>
      <c r="Z24" s="119" t="str">
        <f>auxtelha!A13</f>
        <v>Auxiliar Técnico – Telhadista</v>
      </c>
      <c r="AA24" s="120"/>
      <c r="AB24" s="119" t="str">
        <f>tecseg!A13</f>
        <v xml:space="preserve">Técnico de Segurança no Trabalho Pleno </v>
      </c>
      <c r="AC24" s="120"/>
      <c r="AMK24" s="33"/>
      <c r="AML24" s="33"/>
    </row>
    <row r="25" spans="1:29 1025:1026" x14ac:dyDescent="0.25">
      <c r="A25" s="35" t="s">
        <v>203</v>
      </c>
      <c r="B25" s="36"/>
      <c r="C25" s="37">
        <v>4.9000000000000004</v>
      </c>
      <c r="D25" s="36"/>
      <c r="E25" s="37">
        <v>4.9000000000000004</v>
      </c>
      <c r="F25" s="36"/>
      <c r="G25" s="37">
        <v>4.9000000000000004</v>
      </c>
      <c r="H25" s="36"/>
      <c r="I25" s="37">
        <v>4.9000000000000004</v>
      </c>
      <c r="J25" s="36"/>
      <c r="K25" s="37">
        <v>4.9000000000000004</v>
      </c>
      <c r="L25" s="36"/>
      <c r="M25" s="37">
        <v>4.9000000000000004</v>
      </c>
      <c r="N25" s="36"/>
      <c r="O25" s="37">
        <v>4.9000000000000004</v>
      </c>
      <c r="P25" s="36"/>
      <c r="Q25" s="37">
        <v>4.9000000000000004</v>
      </c>
      <c r="R25" s="36"/>
      <c r="S25" s="37">
        <v>4.9000000000000004</v>
      </c>
      <c r="T25" s="36"/>
      <c r="U25" s="37">
        <v>4.9000000000000004</v>
      </c>
      <c r="V25" s="36"/>
      <c r="W25" s="37">
        <v>4.9000000000000004</v>
      </c>
      <c r="X25" s="36"/>
      <c r="Y25" s="37">
        <v>4.9000000000000004</v>
      </c>
      <c r="Z25" s="36"/>
      <c r="AA25" s="37">
        <v>4.9000000000000004</v>
      </c>
      <c r="AB25" s="36"/>
      <c r="AC25" s="37">
        <v>4.9000000000000004</v>
      </c>
      <c r="AMK25" s="33"/>
      <c r="AML25" s="33"/>
    </row>
    <row r="26" spans="1:29 1025:1026" x14ac:dyDescent="0.25">
      <c r="A26" s="35" t="s">
        <v>204</v>
      </c>
      <c r="B26" s="82">
        <v>0</v>
      </c>
      <c r="C26" s="39">
        <f>C25*B26</f>
        <v>0</v>
      </c>
      <c r="D26" s="82">
        <v>2</v>
      </c>
      <c r="E26" s="39">
        <f t="shared" ref="E26" si="0">E25*D26</f>
        <v>9.8000000000000007</v>
      </c>
      <c r="F26" s="82">
        <v>2</v>
      </c>
      <c r="G26" s="39">
        <f t="shared" ref="G26" si="1">G25*F26</f>
        <v>9.8000000000000007</v>
      </c>
      <c r="H26" s="82">
        <v>2</v>
      </c>
      <c r="I26" s="39">
        <f t="shared" ref="I26" si="2">I25*H26</f>
        <v>9.8000000000000007</v>
      </c>
      <c r="J26" s="82">
        <v>2</v>
      </c>
      <c r="K26" s="39">
        <f t="shared" ref="K26" si="3">K25*J26</f>
        <v>9.8000000000000007</v>
      </c>
      <c r="L26" s="82">
        <v>2</v>
      </c>
      <c r="M26" s="39">
        <f t="shared" ref="M26" si="4">M25*L26</f>
        <v>9.8000000000000007</v>
      </c>
      <c r="N26" s="82">
        <v>2</v>
      </c>
      <c r="O26" s="39">
        <f t="shared" ref="O26" si="5">O25*N26</f>
        <v>9.8000000000000007</v>
      </c>
      <c r="P26" s="82">
        <v>2</v>
      </c>
      <c r="Q26" s="39">
        <f t="shared" ref="Q26" si="6">Q25*P26</f>
        <v>9.8000000000000007</v>
      </c>
      <c r="R26" s="82">
        <v>2</v>
      </c>
      <c r="S26" s="39">
        <f t="shared" ref="S26" si="7">S25*R26</f>
        <v>9.8000000000000007</v>
      </c>
      <c r="T26" s="82">
        <v>2</v>
      </c>
      <c r="U26" s="39">
        <f t="shared" ref="U26" si="8">U25*T26</f>
        <v>9.8000000000000007</v>
      </c>
      <c r="V26" s="82">
        <v>2</v>
      </c>
      <c r="W26" s="39">
        <f t="shared" ref="W26" si="9">W25*V26</f>
        <v>9.8000000000000007</v>
      </c>
      <c r="X26" s="82">
        <v>2</v>
      </c>
      <c r="Y26" s="39">
        <f t="shared" ref="Y26" si="10">Y25*X26</f>
        <v>9.8000000000000007</v>
      </c>
      <c r="Z26" s="82">
        <v>2</v>
      </c>
      <c r="AA26" s="39">
        <f t="shared" ref="AA26" si="11">AA25*Z26</f>
        <v>9.8000000000000007</v>
      </c>
      <c r="AB26" s="82">
        <v>2</v>
      </c>
      <c r="AC26" s="39">
        <f t="shared" ref="AC26" si="12">AC25*AB26</f>
        <v>9.8000000000000007</v>
      </c>
      <c r="AMK26" s="33"/>
      <c r="AML26" s="33"/>
    </row>
    <row r="27" spans="1:29 1025:1026" x14ac:dyDescent="0.25">
      <c r="A27" s="35" t="s">
        <v>200</v>
      </c>
      <c r="B27" s="81">
        <f>engeletr!C143</f>
        <v>0.21840000000000001</v>
      </c>
      <c r="C27" s="39">
        <f>TRUNC((C26)*B27,2)</f>
        <v>0</v>
      </c>
      <c r="D27" s="81">
        <f>encrefig!C143</f>
        <v>0.21840000000000001</v>
      </c>
      <c r="E27" s="39">
        <f>TRUNC((E26)*D27,2)</f>
        <v>2.14</v>
      </c>
      <c r="F27" s="81">
        <f>enceletr!C143</f>
        <v>0.21840000000000001</v>
      </c>
      <c r="G27" s="39">
        <f>TRUNC((G26)*F27,2)</f>
        <v>2.14</v>
      </c>
      <c r="H27" s="81">
        <f>enccivil!C143</f>
        <v>0.21840000000000001</v>
      </c>
      <c r="I27" s="39">
        <f>TRUNC((I26)*H27,2)</f>
        <v>2.14</v>
      </c>
      <c r="J27" s="81">
        <f>tectele!C143</f>
        <v>0.21840000000000001</v>
      </c>
      <c r="K27" s="39">
        <f>TRUNC((K26)*J27,2)</f>
        <v>2.14</v>
      </c>
      <c r="L27" s="81">
        <f>teceletro!C143</f>
        <v>0.21840000000000001</v>
      </c>
      <c r="M27" s="39">
        <f>TRUNC((M26)*L27,2)</f>
        <v>2.14</v>
      </c>
      <c r="N27" s="81">
        <f>tecrefrig!C143</f>
        <v>0.21840000000000001</v>
      </c>
      <c r="O27" s="39">
        <f>TRUNC((O26)*N27,2)</f>
        <v>2.14</v>
      </c>
      <c r="P27" s="81">
        <f>eletric!C143</f>
        <v>0.21840000000000001</v>
      </c>
      <c r="Q27" s="39">
        <f>TRUNC((Q26)*P27,2)</f>
        <v>2.14</v>
      </c>
      <c r="R27" s="81">
        <f>ajmontD!C143</f>
        <v>0.21840000000000001</v>
      </c>
      <c r="S27" s="39">
        <f>TRUNC((S26)*R27,2)</f>
        <v>2.14</v>
      </c>
      <c r="T27" s="81">
        <f>ajmontN!C143</f>
        <v>0.21840000000000001</v>
      </c>
      <c r="U27" s="39">
        <f>TRUNC((U26)*T27,2)</f>
        <v>2.14</v>
      </c>
      <c r="V27" s="81">
        <f>auxcivil!C143</f>
        <v>0.21840000000000001</v>
      </c>
      <c r="W27" s="39">
        <f>TRUNC((W26)*V27,2)</f>
        <v>2.14</v>
      </c>
      <c r="X27" s="81">
        <f>pintorN!C143</f>
        <v>0.21840000000000001</v>
      </c>
      <c r="Y27" s="39">
        <f>TRUNC((Y26)*X27,2)</f>
        <v>2.14</v>
      </c>
      <c r="Z27" s="81">
        <f>auxtelha!C143</f>
        <v>0.21840000000000001</v>
      </c>
      <c r="AA27" s="39">
        <f>TRUNC((AA26)*Z27,2)</f>
        <v>2.14</v>
      </c>
      <c r="AB27" s="81">
        <f>tecseg!C143</f>
        <v>0.21840000000000001</v>
      </c>
      <c r="AC27" s="39">
        <f>TRUNC((AC26)*AB27,2)</f>
        <v>2.14</v>
      </c>
      <c r="AMK27" s="33"/>
      <c r="AML27" s="33"/>
    </row>
    <row r="28" spans="1:29 1025:1026" x14ac:dyDescent="0.25">
      <c r="A28" s="35" t="s">
        <v>142</v>
      </c>
      <c r="B28" s="35"/>
      <c r="C28" s="39">
        <f>SUM(C26:C27)</f>
        <v>0</v>
      </c>
      <c r="D28" s="35"/>
      <c r="E28" s="39">
        <f t="shared" ref="E28" si="13">SUM(E26:E27)</f>
        <v>11.940000000000001</v>
      </c>
      <c r="F28" s="35"/>
      <c r="G28" s="39">
        <f t="shared" ref="G28" si="14">SUM(G26:G27)</f>
        <v>11.940000000000001</v>
      </c>
      <c r="H28" s="35"/>
      <c r="I28" s="39">
        <f t="shared" ref="I28" si="15">SUM(I26:I27)</f>
        <v>11.940000000000001</v>
      </c>
      <c r="J28" s="35"/>
      <c r="K28" s="39">
        <f t="shared" ref="K28" si="16">SUM(K26:K27)</f>
        <v>11.940000000000001</v>
      </c>
      <c r="L28" s="35"/>
      <c r="M28" s="39">
        <f t="shared" ref="M28" si="17">SUM(M26:M27)</f>
        <v>11.940000000000001</v>
      </c>
      <c r="N28" s="35"/>
      <c r="O28" s="39">
        <f t="shared" ref="O28" si="18">SUM(O26:O27)</f>
        <v>11.940000000000001</v>
      </c>
      <c r="P28" s="35"/>
      <c r="Q28" s="39">
        <f t="shared" ref="Q28" si="19">SUM(Q26:Q27)</f>
        <v>11.940000000000001</v>
      </c>
      <c r="R28" s="35"/>
      <c r="S28" s="39">
        <f t="shared" ref="S28" si="20">SUM(S26:S27)</f>
        <v>11.940000000000001</v>
      </c>
      <c r="T28" s="35"/>
      <c r="U28" s="39">
        <f t="shared" ref="U28" si="21">SUM(U26:U27)</f>
        <v>11.940000000000001</v>
      </c>
      <c r="V28" s="35"/>
      <c r="W28" s="39">
        <f t="shared" ref="W28" si="22">SUM(W26:W27)</f>
        <v>11.940000000000001</v>
      </c>
      <c r="X28" s="35"/>
      <c r="Y28" s="39">
        <f t="shared" ref="Y28" si="23">SUM(Y26:Y27)</f>
        <v>11.940000000000001</v>
      </c>
      <c r="Z28" s="35"/>
      <c r="AA28" s="39">
        <f t="shared" ref="AA28" si="24">SUM(AA26:AA27)</f>
        <v>11.940000000000001</v>
      </c>
      <c r="AB28" s="35"/>
      <c r="AC28" s="39">
        <f t="shared" ref="AC28" si="25">SUM(AC26:AC27)</f>
        <v>11.940000000000001</v>
      </c>
      <c r="AMK28" s="33"/>
      <c r="AML28" s="33"/>
    </row>
    <row r="29" spans="1:29 1025:1026" x14ac:dyDescent="0.25">
      <c r="A29" s="35" t="s">
        <v>213</v>
      </c>
      <c r="B29" s="82">
        <v>0</v>
      </c>
      <c r="C29" s="39">
        <f>C28*B29</f>
        <v>0</v>
      </c>
      <c r="D29" s="82">
        <v>0</v>
      </c>
      <c r="E29" s="39">
        <f t="shared" ref="E29" si="26">E28*D29</f>
        <v>0</v>
      </c>
      <c r="F29" s="82">
        <v>0</v>
      </c>
      <c r="G29" s="39">
        <f t="shared" ref="G29" si="27">G28*F29</f>
        <v>0</v>
      </c>
      <c r="H29" s="82">
        <v>0</v>
      </c>
      <c r="I29" s="39">
        <f t="shared" ref="I29" si="28">I28*H29</f>
        <v>0</v>
      </c>
      <c r="J29" s="82">
        <v>0</v>
      </c>
      <c r="K29" s="39">
        <f t="shared" ref="K29" si="29">K28*J29</f>
        <v>0</v>
      </c>
      <c r="L29" s="82">
        <v>0</v>
      </c>
      <c r="M29" s="39">
        <f t="shared" ref="M29" si="30">M28*L29</f>
        <v>0</v>
      </c>
      <c r="N29" s="82">
        <v>0</v>
      </c>
      <c r="O29" s="39">
        <f t="shared" ref="O29" si="31">O28*N29</f>
        <v>0</v>
      </c>
      <c r="P29" s="82">
        <v>0</v>
      </c>
      <c r="Q29" s="39">
        <f t="shared" ref="Q29" si="32">Q28*P29</f>
        <v>0</v>
      </c>
      <c r="R29" s="82">
        <v>0</v>
      </c>
      <c r="S29" s="39">
        <f t="shared" ref="S29" si="33">S28*R29</f>
        <v>0</v>
      </c>
      <c r="T29" s="82">
        <v>0</v>
      </c>
      <c r="U29" s="39">
        <f t="shared" ref="U29" si="34">U28*T29</f>
        <v>0</v>
      </c>
      <c r="V29" s="82">
        <v>0</v>
      </c>
      <c r="W29" s="39">
        <f t="shared" ref="W29" si="35">W28*V29</f>
        <v>0</v>
      </c>
      <c r="X29" s="82">
        <v>0</v>
      </c>
      <c r="Y29" s="39">
        <f t="shared" ref="Y29" si="36">Y28*X29</f>
        <v>0</v>
      </c>
      <c r="Z29" s="82">
        <v>0</v>
      </c>
      <c r="AA29" s="39">
        <f t="shared" ref="AA29" si="37">AA28*Z29</f>
        <v>0</v>
      </c>
      <c r="AB29" s="82">
        <v>0</v>
      </c>
      <c r="AC29" s="39">
        <f t="shared" ref="AC29" si="38">AC28*AB29</f>
        <v>0</v>
      </c>
      <c r="AMK29" s="33"/>
      <c r="AML29" s="33"/>
    </row>
    <row r="30" spans="1:29 1025:1026" x14ac:dyDescent="0.25">
      <c r="A30" s="35" t="s">
        <v>206</v>
      </c>
      <c r="B30" s="82">
        <f>ROUNDUP(B18/8,0)</f>
        <v>9</v>
      </c>
      <c r="C30" s="39">
        <f>C28*B30</f>
        <v>0</v>
      </c>
      <c r="D30" s="82">
        <f t="shared" ref="D30" si="39">ROUNDUP(D18/8,0)</f>
        <v>9</v>
      </c>
      <c r="E30" s="39">
        <f>E28*D30</f>
        <v>107.46000000000001</v>
      </c>
      <c r="F30" s="82">
        <f t="shared" ref="F30" si="40">ROUNDUP(F18/8,0)</f>
        <v>9</v>
      </c>
      <c r="G30" s="39">
        <f>G28*F30</f>
        <v>107.46000000000001</v>
      </c>
      <c r="H30" s="82">
        <f t="shared" ref="H30" si="41">ROUNDUP(H18/8,0)</f>
        <v>9</v>
      </c>
      <c r="I30" s="39">
        <f>I28*H30</f>
        <v>107.46000000000001</v>
      </c>
      <c r="J30" s="82">
        <f t="shared" ref="J30" si="42">ROUNDUP(J18/8,0)</f>
        <v>9</v>
      </c>
      <c r="K30" s="39">
        <f>K28*J30</f>
        <v>107.46000000000001</v>
      </c>
      <c r="L30" s="82">
        <f t="shared" ref="L30" si="43">ROUNDUP(L18/8,0)</f>
        <v>9</v>
      </c>
      <c r="M30" s="39">
        <f>M28*L30</f>
        <v>107.46000000000001</v>
      </c>
      <c r="N30" s="82">
        <f t="shared" ref="N30" si="44">ROUNDUP(N18/8,0)</f>
        <v>9</v>
      </c>
      <c r="O30" s="39">
        <f>O28*N30</f>
        <v>107.46000000000001</v>
      </c>
      <c r="P30" s="82">
        <f t="shared" ref="P30" si="45">ROUNDUP(P18/8,0)</f>
        <v>9</v>
      </c>
      <c r="Q30" s="39">
        <f>Q28*P30</f>
        <v>107.46000000000001</v>
      </c>
      <c r="R30" s="82">
        <f t="shared" ref="R30" si="46">ROUNDUP(R18/8,0)</f>
        <v>9</v>
      </c>
      <c r="S30" s="39">
        <f>S28*R30</f>
        <v>107.46000000000001</v>
      </c>
      <c r="T30" s="82">
        <f t="shared" ref="T30" si="47">ROUNDUP(T18/8,0)</f>
        <v>9</v>
      </c>
      <c r="U30" s="39">
        <f>U28*T30</f>
        <v>107.46000000000001</v>
      </c>
      <c r="V30" s="82">
        <f t="shared" ref="V30" si="48">ROUNDUP(V18/8,0)</f>
        <v>9</v>
      </c>
      <c r="W30" s="39">
        <f>W28*V30</f>
        <v>107.46000000000001</v>
      </c>
      <c r="X30" s="82">
        <f t="shared" ref="X30" si="49">ROUNDUP(X18/8,0)</f>
        <v>9</v>
      </c>
      <c r="Y30" s="39">
        <f>Y28*X30</f>
        <v>107.46000000000001</v>
      </c>
      <c r="Z30" s="82">
        <f t="shared" ref="Z30" si="50">ROUNDUP(Z18/8,0)</f>
        <v>9</v>
      </c>
      <c r="AA30" s="39">
        <f>AA28*Z30</f>
        <v>107.46000000000001</v>
      </c>
      <c r="AB30" s="82">
        <f t="shared" ref="AB30" si="51">ROUNDUP(AB18/8,0)</f>
        <v>9</v>
      </c>
      <c r="AC30" s="39">
        <f>AC28*AB30</f>
        <v>107.46000000000001</v>
      </c>
      <c r="AMK30" s="33"/>
      <c r="AML30" s="33"/>
    </row>
    <row r="31" spans="1:29 1025:1026" x14ac:dyDescent="0.25">
      <c r="A31" s="35" t="s">
        <v>212</v>
      </c>
      <c r="B31" s="83"/>
      <c r="C31" s="37">
        <f>SUM(C29:C30)</f>
        <v>0</v>
      </c>
      <c r="D31" s="83"/>
      <c r="E31" s="37">
        <f t="shared" ref="E31" si="52">SUM(E29:E30)</f>
        <v>107.46000000000001</v>
      </c>
      <c r="F31" s="83"/>
      <c r="G31" s="37">
        <f t="shared" ref="G31" si="53">SUM(G29:G30)</f>
        <v>107.46000000000001</v>
      </c>
      <c r="H31" s="83"/>
      <c r="I31" s="37">
        <f t="shared" ref="I31" si="54">SUM(I29:I30)</f>
        <v>107.46000000000001</v>
      </c>
      <c r="J31" s="83"/>
      <c r="K31" s="37">
        <f t="shared" ref="K31" si="55">SUM(K29:K30)</f>
        <v>107.46000000000001</v>
      </c>
      <c r="L31" s="83"/>
      <c r="M31" s="37">
        <f t="shared" ref="M31" si="56">SUM(M29:M30)</f>
        <v>107.46000000000001</v>
      </c>
      <c r="N31" s="83"/>
      <c r="O31" s="37">
        <f t="shared" ref="O31" si="57">SUM(O29:O30)</f>
        <v>107.46000000000001</v>
      </c>
      <c r="P31" s="83"/>
      <c r="Q31" s="37">
        <f t="shared" ref="Q31" si="58">SUM(Q29:Q30)</f>
        <v>107.46000000000001</v>
      </c>
      <c r="R31" s="83"/>
      <c r="S31" s="37">
        <f t="shared" ref="S31" si="59">SUM(S29:S30)</f>
        <v>107.46000000000001</v>
      </c>
      <c r="T31" s="83"/>
      <c r="U31" s="37">
        <f t="shared" ref="U31" si="60">SUM(U29:U30)</f>
        <v>107.46000000000001</v>
      </c>
      <c r="V31" s="83"/>
      <c r="W31" s="37">
        <f t="shared" ref="W31" si="61">SUM(W29:W30)</f>
        <v>107.46000000000001</v>
      </c>
      <c r="X31" s="83"/>
      <c r="Y31" s="37">
        <f t="shared" ref="Y31" si="62">SUM(Y29:Y30)</f>
        <v>107.46000000000001</v>
      </c>
      <c r="Z31" s="83"/>
      <c r="AA31" s="37">
        <f t="shared" ref="AA31" si="63">SUM(AA29:AA30)</f>
        <v>107.46000000000001</v>
      </c>
      <c r="AB31" s="83"/>
      <c r="AC31" s="37">
        <f t="shared" ref="AC31" si="64">SUM(AC29:AC30)</f>
        <v>107.46000000000001</v>
      </c>
      <c r="AMK31" s="33"/>
      <c r="AML31" s="33"/>
    </row>
    <row r="32" spans="1:29 1025:1026" x14ac:dyDescent="0.25">
      <c r="A32" s="35" t="s">
        <v>205</v>
      </c>
      <c r="B32" s="82"/>
      <c r="C32" s="39">
        <f>C31*C20</f>
        <v>0</v>
      </c>
      <c r="D32" s="82"/>
      <c r="E32" s="39">
        <f t="shared" ref="E32" si="65">E31*E20</f>
        <v>107.46000000000001</v>
      </c>
      <c r="F32" s="82"/>
      <c r="G32" s="39">
        <f t="shared" ref="G32" si="66">G31*G20</f>
        <v>107.46000000000001</v>
      </c>
      <c r="H32" s="82"/>
      <c r="I32" s="39">
        <f t="shared" ref="I32" si="67">I31*I20</f>
        <v>107.46000000000001</v>
      </c>
      <c r="J32" s="82"/>
      <c r="K32" s="39">
        <f t="shared" ref="K32" si="68">K31*K20</f>
        <v>214.92000000000002</v>
      </c>
      <c r="L32" s="82"/>
      <c r="M32" s="39">
        <f t="shared" ref="M32" si="69">M31*M20</f>
        <v>107.46000000000001</v>
      </c>
      <c r="N32" s="82"/>
      <c r="O32" s="39">
        <f t="shared" ref="O32" si="70">O31*O20</f>
        <v>214.92000000000002</v>
      </c>
      <c r="P32" s="82"/>
      <c r="Q32" s="39">
        <f t="shared" ref="Q32" si="71">Q31*Q20</f>
        <v>214.92000000000002</v>
      </c>
      <c r="R32" s="82"/>
      <c r="S32" s="39">
        <f t="shared" ref="S32" si="72">S31*S20</f>
        <v>322.38</v>
      </c>
      <c r="T32" s="82"/>
      <c r="U32" s="39">
        <f t="shared" ref="U32" si="73">U31*U20</f>
        <v>107.46000000000001</v>
      </c>
      <c r="V32" s="82"/>
      <c r="W32" s="39">
        <f t="shared" ref="W32" si="74">W31*W20</f>
        <v>214.92000000000002</v>
      </c>
      <c r="X32" s="82"/>
      <c r="Y32" s="39">
        <f t="shared" ref="Y32" si="75">Y31*Y20</f>
        <v>107.46000000000001</v>
      </c>
      <c r="Z32" s="82"/>
      <c r="AA32" s="39">
        <f t="shared" ref="AA32" si="76">AA31*AA20</f>
        <v>214.92000000000002</v>
      </c>
      <c r="AB32" s="82"/>
      <c r="AC32" s="39">
        <f t="shared" ref="AC32" si="77">AC31*AC20</f>
        <v>107.46000000000001</v>
      </c>
    </row>
    <row r="33" spans="1:29" x14ac:dyDescent="0.25">
      <c r="A33" s="78"/>
      <c r="B33" s="84"/>
      <c r="C33" s="80"/>
      <c r="D33" s="84"/>
      <c r="E33" s="80"/>
      <c r="F33" s="84"/>
      <c r="G33" s="80"/>
      <c r="H33" s="84"/>
      <c r="I33" s="80"/>
      <c r="J33" s="84"/>
      <c r="K33" s="80"/>
      <c r="L33" s="84"/>
      <c r="M33" s="80"/>
      <c r="N33" s="84"/>
      <c r="O33" s="80"/>
      <c r="P33" s="84"/>
      <c r="Q33" s="80"/>
      <c r="R33" s="84"/>
      <c r="S33" s="80"/>
      <c r="T33" s="84"/>
      <c r="U33" s="80"/>
      <c r="V33" s="84"/>
      <c r="W33" s="80"/>
      <c r="X33" s="84"/>
      <c r="Y33" s="80"/>
      <c r="Z33" s="84"/>
      <c r="AA33" s="80"/>
      <c r="AB33" s="84"/>
      <c r="AC33" s="80"/>
    </row>
    <row r="34" spans="1:29" x14ac:dyDescent="0.25">
      <c r="A34" s="87" t="s">
        <v>207</v>
      </c>
      <c r="B34" s="84"/>
      <c r="C34" s="80"/>
      <c r="D34" s="84"/>
      <c r="E34" s="80"/>
      <c r="F34" s="84"/>
      <c r="G34" s="80"/>
      <c r="H34" s="84"/>
      <c r="I34" s="80"/>
      <c r="J34" s="84"/>
      <c r="K34" s="80"/>
      <c r="L34" s="84"/>
      <c r="M34" s="80"/>
      <c r="N34" s="84"/>
      <c r="O34" s="80"/>
      <c r="P34" s="84"/>
      <c r="Q34" s="80"/>
      <c r="R34" s="84"/>
      <c r="S34" s="80"/>
      <c r="T34" s="84"/>
      <c r="U34" s="80"/>
      <c r="V34" s="84"/>
      <c r="W34" s="80"/>
      <c r="X34" s="84"/>
      <c r="Y34" s="80"/>
      <c r="Z34" s="84"/>
      <c r="AA34" s="80"/>
      <c r="AB34" s="84"/>
      <c r="AC34" s="80"/>
    </row>
    <row r="35" spans="1:29" ht="89.25" customHeight="1" x14ac:dyDescent="0.25">
      <c r="A35" s="62" t="s">
        <v>139</v>
      </c>
      <c r="B35" s="119" t="str">
        <f>engeletr!A13</f>
        <v>Engenheiro Eletricista (Supervisor)</v>
      </c>
      <c r="C35" s="120"/>
      <c r="D35" s="119" t="str">
        <f>encrefig!A13</f>
        <v>Encarregado - Refrigeração</v>
      </c>
      <c r="E35" s="120"/>
      <c r="F35" s="119" t="str">
        <f>enceletr!A13</f>
        <v xml:space="preserve">Encarregado - Elétrica </v>
      </c>
      <c r="G35" s="120"/>
      <c r="H35" s="119" t="str">
        <f>enccivil!A13</f>
        <v>Encarregado - Civil</v>
      </c>
      <c r="I35" s="120"/>
      <c r="J35" s="119" t="str">
        <f>tectele!A13</f>
        <v>Técnico em Redes e Telecomunicações</v>
      </c>
      <c r="K35" s="120"/>
      <c r="L35" s="119" t="str">
        <f>teceletro!A13</f>
        <v>Técnico em Eletromecânica</v>
      </c>
      <c r="M35" s="120"/>
      <c r="N35" s="119" t="str">
        <f>tecrefrig!A13</f>
        <v>Técnico em Refrigeração</v>
      </c>
      <c r="O35" s="120"/>
      <c r="P35" s="119" t="str">
        <f>eletric!A13</f>
        <v>Eletricista</v>
      </c>
      <c r="Q35" s="120"/>
      <c r="R35" s="119" t="str">
        <f>ajmontD!A13</f>
        <v>Ajudante de Montagem e Manutenção (Servente Prático) - diurno</v>
      </c>
      <c r="S35" s="120"/>
      <c r="T35" s="119" t="str">
        <f>ajmontN!A13</f>
        <v>Ajudante de Montagem e Manutenção (Servente Prático) - noturno</v>
      </c>
      <c r="U35" s="120"/>
      <c r="V35" s="119" t="str">
        <f>auxcivil!A13</f>
        <v xml:space="preserve">Auxiliar Técnico – Civil (pequenas obras e adequações prediais) </v>
      </c>
      <c r="W35" s="120"/>
      <c r="X35" s="119" t="str">
        <f>pintorN!A13</f>
        <v>Pintor Industrial (Estruturas Metálicas) - noturno</v>
      </c>
      <c r="Y35" s="120"/>
      <c r="Z35" s="119" t="str">
        <f>auxtelha!A13</f>
        <v>Auxiliar Técnico – Telhadista</v>
      </c>
      <c r="AA35" s="120"/>
      <c r="AB35" s="119" t="str">
        <f>tecseg!A13</f>
        <v xml:space="preserve">Técnico de Segurança no Trabalho Pleno </v>
      </c>
      <c r="AC35" s="120"/>
    </row>
    <row r="36" spans="1:29" x14ac:dyDescent="0.25">
      <c r="A36" s="35" t="s">
        <v>208</v>
      </c>
      <c r="B36" s="83"/>
      <c r="C36" s="37">
        <v>0</v>
      </c>
      <c r="D36" s="83"/>
      <c r="E36" s="37">
        <f>20.49*0.95</f>
        <v>19.465499999999999</v>
      </c>
      <c r="F36" s="83"/>
      <c r="G36" s="37">
        <f>20.49*0.95</f>
        <v>19.465499999999999</v>
      </c>
      <c r="H36" s="83"/>
      <c r="I36" s="37">
        <f t="shared" ref="I36" si="78">20.49*0.95</f>
        <v>19.465499999999999</v>
      </c>
      <c r="J36" s="83"/>
      <c r="K36" s="37">
        <f t="shared" ref="K36" si="79">20.49*0.95</f>
        <v>19.465499999999999</v>
      </c>
      <c r="L36" s="83"/>
      <c r="M36" s="37">
        <f t="shared" ref="M36" si="80">20.49*0.95</f>
        <v>19.465499999999999</v>
      </c>
      <c r="N36" s="83"/>
      <c r="O36" s="37">
        <f t="shared" ref="O36" si="81">20.49*0.95</f>
        <v>19.465499999999999</v>
      </c>
      <c r="P36" s="83"/>
      <c r="Q36" s="37">
        <f t="shared" ref="Q36" si="82">20.49*0.95</f>
        <v>19.465499999999999</v>
      </c>
      <c r="R36" s="83"/>
      <c r="S36" s="37">
        <f t="shared" ref="S36" si="83">20.49*0.95</f>
        <v>19.465499999999999</v>
      </c>
      <c r="T36" s="83"/>
      <c r="U36" s="37">
        <f t="shared" ref="U36" si="84">20.49*0.95</f>
        <v>19.465499999999999</v>
      </c>
      <c r="V36" s="83"/>
      <c r="W36" s="37">
        <f t="shared" ref="W36" si="85">20.49*0.95</f>
        <v>19.465499999999999</v>
      </c>
      <c r="X36" s="83"/>
      <c r="Y36" s="37">
        <f t="shared" ref="Y36" si="86">20.49*0.95</f>
        <v>19.465499999999999</v>
      </c>
      <c r="Z36" s="83"/>
      <c r="AA36" s="37">
        <f t="shared" ref="AA36" si="87">20.49*0.95</f>
        <v>19.465499999999999</v>
      </c>
      <c r="AB36" s="83"/>
      <c r="AC36" s="37">
        <v>0</v>
      </c>
    </row>
    <row r="37" spans="1:29" x14ac:dyDescent="0.25">
      <c r="A37" s="35" t="s">
        <v>200</v>
      </c>
      <c r="B37" s="81">
        <f>engeletr!C143</f>
        <v>0.21840000000000001</v>
      </c>
      <c r="C37" s="39">
        <f>TRUNC((C36)*B37,2)</f>
        <v>0</v>
      </c>
      <c r="D37" s="81">
        <f>encrefig!C143</f>
        <v>0.21840000000000001</v>
      </c>
      <c r="E37" s="39">
        <f>TRUNC((E36)*D37,2)</f>
        <v>4.25</v>
      </c>
      <c r="F37" s="81">
        <f>enceletr!C143</f>
        <v>0.21840000000000001</v>
      </c>
      <c r="G37" s="39">
        <f>TRUNC((G36)*F37,2)</f>
        <v>4.25</v>
      </c>
      <c r="H37" s="81">
        <f>enccivil!C143</f>
        <v>0.21840000000000001</v>
      </c>
      <c r="I37" s="39">
        <f>TRUNC((I36)*H37,2)</f>
        <v>4.25</v>
      </c>
      <c r="J37" s="81">
        <f>tectele!C143</f>
        <v>0.21840000000000001</v>
      </c>
      <c r="K37" s="39">
        <f>TRUNC((K36)*J37,2)</f>
        <v>4.25</v>
      </c>
      <c r="L37" s="81">
        <f>teceletro!C143</f>
        <v>0.21840000000000001</v>
      </c>
      <c r="M37" s="39">
        <f>TRUNC((M36)*L37,2)</f>
        <v>4.25</v>
      </c>
      <c r="N37" s="81">
        <f>tecrefrig!C143</f>
        <v>0.21840000000000001</v>
      </c>
      <c r="O37" s="39">
        <f>TRUNC((O36)*N37,2)</f>
        <v>4.25</v>
      </c>
      <c r="P37" s="81">
        <f>eletric!C143</f>
        <v>0.21840000000000001</v>
      </c>
      <c r="Q37" s="39">
        <f>TRUNC((Q36)*P37,2)</f>
        <v>4.25</v>
      </c>
      <c r="R37" s="81">
        <f>ajmontD!C143</f>
        <v>0.21840000000000001</v>
      </c>
      <c r="S37" s="39">
        <f>TRUNC((S36)*R37,2)</f>
        <v>4.25</v>
      </c>
      <c r="T37" s="81">
        <f>ajmontN!C143</f>
        <v>0.21840000000000001</v>
      </c>
      <c r="U37" s="39">
        <f>TRUNC((U36)*T37,2)</f>
        <v>4.25</v>
      </c>
      <c r="V37" s="81">
        <f>auxcivil!C143</f>
        <v>0.21840000000000001</v>
      </c>
      <c r="W37" s="39">
        <f>TRUNC((W36)*V37,2)</f>
        <v>4.25</v>
      </c>
      <c r="X37" s="81">
        <f>pintorN!C143</f>
        <v>0.21840000000000001</v>
      </c>
      <c r="Y37" s="39">
        <f>TRUNC((Y36)*X37,2)</f>
        <v>4.25</v>
      </c>
      <c r="Z37" s="81">
        <f>auxtelha!C143</f>
        <v>0.21840000000000001</v>
      </c>
      <c r="AA37" s="39">
        <f>TRUNC((AA36)*Z37,2)</f>
        <v>4.25</v>
      </c>
      <c r="AB37" s="81">
        <f>tecseg!C143</f>
        <v>0.21840000000000001</v>
      </c>
      <c r="AC37" s="39">
        <f>TRUNC((AC36)*AB37,2)</f>
        <v>0</v>
      </c>
    </row>
    <row r="38" spans="1:29" x14ac:dyDescent="0.25">
      <c r="A38" s="35" t="s">
        <v>142</v>
      </c>
      <c r="B38" s="35"/>
      <c r="C38" s="39">
        <f>SUM(C36:C37)</f>
        <v>0</v>
      </c>
      <c r="D38" s="35"/>
      <c r="E38" s="39">
        <f t="shared" ref="E38" si="88">SUM(E36:E37)</f>
        <v>23.715499999999999</v>
      </c>
      <c r="F38" s="35"/>
      <c r="G38" s="39">
        <f t="shared" ref="G38" si="89">SUM(G36:G37)</f>
        <v>23.715499999999999</v>
      </c>
      <c r="H38" s="35"/>
      <c r="I38" s="39">
        <f t="shared" ref="I38" si="90">SUM(I36:I37)</f>
        <v>23.715499999999999</v>
      </c>
      <c r="J38" s="35"/>
      <c r="K38" s="39">
        <f t="shared" ref="K38" si="91">SUM(K36:K37)</f>
        <v>23.715499999999999</v>
      </c>
      <c r="L38" s="35"/>
      <c r="M38" s="39">
        <f t="shared" ref="M38" si="92">SUM(M36:M37)</f>
        <v>23.715499999999999</v>
      </c>
      <c r="N38" s="35"/>
      <c r="O38" s="39">
        <f t="shared" ref="O38" si="93">SUM(O36:O37)</f>
        <v>23.715499999999999</v>
      </c>
      <c r="P38" s="35"/>
      <c r="Q38" s="39">
        <f t="shared" ref="Q38" si="94">SUM(Q36:Q37)</f>
        <v>23.715499999999999</v>
      </c>
      <c r="R38" s="35"/>
      <c r="S38" s="39">
        <f t="shared" ref="S38" si="95">SUM(S36:S37)</f>
        <v>23.715499999999999</v>
      </c>
      <c r="T38" s="35"/>
      <c r="U38" s="39">
        <f t="shared" ref="U38" si="96">SUM(U36:U37)</f>
        <v>23.715499999999999</v>
      </c>
      <c r="V38" s="35"/>
      <c r="W38" s="39">
        <f t="shared" ref="W38" si="97">SUM(W36:W37)</f>
        <v>23.715499999999999</v>
      </c>
      <c r="X38" s="35"/>
      <c r="Y38" s="39">
        <f t="shared" ref="Y38" si="98">SUM(Y36:Y37)</f>
        <v>23.715499999999999</v>
      </c>
      <c r="Z38" s="35"/>
      <c r="AA38" s="39">
        <f t="shared" ref="AA38" si="99">SUM(AA36:AA37)</f>
        <v>23.715499999999999</v>
      </c>
      <c r="AB38" s="35"/>
      <c r="AC38" s="39">
        <f t="shared" ref="AC38" si="100">SUM(AC36:AC37)</f>
        <v>0</v>
      </c>
    </row>
    <row r="39" spans="1:29" x14ac:dyDescent="0.25">
      <c r="A39" s="35" t="s">
        <v>211</v>
      </c>
      <c r="B39" s="82">
        <f>ROUNDUP(B17/8,0)</f>
        <v>8</v>
      </c>
      <c r="C39" s="39">
        <f>C38*B39</f>
        <v>0</v>
      </c>
      <c r="D39" s="82">
        <f t="shared" ref="D39" si="101">ROUNDUP(D17/8,0)</f>
        <v>8</v>
      </c>
      <c r="E39" s="39">
        <f t="shared" ref="E39" si="102">E38*D39</f>
        <v>189.72399999999999</v>
      </c>
      <c r="F39" s="82">
        <f t="shared" ref="F39" si="103">ROUNDUP(F17/8,0)</f>
        <v>8</v>
      </c>
      <c r="G39" s="39">
        <f t="shared" ref="G39" si="104">G38*F39</f>
        <v>189.72399999999999</v>
      </c>
      <c r="H39" s="82">
        <f t="shared" ref="H39" si="105">ROUNDUP(H17/8,0)</f>
        <v>8</v>
      </c>
      <c r="I39" s="39">
        <f t="shared" ref="I39" si="106">I38*H39</f>
        <v>189.72399999999999</v>
      </c>
      <c r="J39" s="82">
        <f t="shared" ref="J39" si="107">ROUNDUP(J17/8,0)</f>
        <v>8</v>
      </c>
      <c r="K39" s="39">
        <f t="shared" ref="K39" si="108">K38*J39</f>
        <v>189.72399999999999</v>
      </c>
      <c r="L39" s="82">
        <f t="shared" ref="L39" si="109">ROUNDUP(L17/8,0)</f>
        <v>8</v>
      </c>
      <c r="M39" s="39">
        <f t="shared" ref="M39" si="110">M38*L39</f>
        <v>189.72399999999999</v>
      </c>
      <c r="N39" s="82">
        <f t="shared" ref="N39" si="111">ROUNDUP(N17/8,0)</f>
        <v>8</v>
      </c>
      <c r="O39" s="39">
        <f t="shared" ref="O39" si="112">O38*N39</f>
        <v>189.72399999999999</v>
      </c>
      <c r="P39" s="82">
        <f t="shared" ref="P39" si="113">ROUNDUP(P17/8,0)</f>
        <v>8</v>
      </c>
      <c r="Q39" s="39">
        <f t="shared" ref="Q39" si="114">Q38*P39</f>
        <v>189.72399999999999</v>
      </c>
      <c r="R39" s="82">
        <f t="shared" ref="R39" si="115">ROUNDUP(R17/8,0)</f>
        <v>8</v>
      </c>
      <c r="S39" s="39">
        <f t="shared" ref="S39" si="116">S38*R39</f>
        <v>189.72399999999999</v>
      </c>
      <c r="T39" s="82">
        <f t="shared" ref="T39" si="117">ROUNDUP(T17/8,0)</f>
        <v>8</v>
      </c>
      <c r="U39" s="39">
        <f t="shared" ref="U39" si="118">U38*T39</f>
        <v>189.72399999999999</v>
      </c>
      <c r="V39" s="82">
        <f t="shared" ref="V39" si="119">ROUNDUP(V17/8,0)</f>
        <v>8</v>
      </c>
      <c r="W39" s="39">
        <f t="shared" ref="W39" si="120">W38*V39</f>
        <v>189.72399999999999</v>
      </c>
      <c r="X39" s="82">
        <f t="shared" ref="X39" si="121">ROUNDUP(X17/8,0)</f>
        <v>8</v>
      </c>
      <c r="Y39" s="39">
        <f t="shared" ref="Y39" si="122">Y38*X39</f>
        <v>189.72399999999999</v>
      </c>
      <c r="Z39" s="82">
        <f t="shared" ref="Z39" si="123">ROUNDUP(Z17/8,0)</f>
        <v>8</v>
      </c>
      <c r="AA39" s="39">
        <f t="shared" ref="AA39" si="124">AA38*Z39</f>
        <v>189.72399999999999</v>
      </c>
      <c r="AB39" s="82">
        <f t="shared" ref="AB39" si="125">ROUNDUP(AB17/8,0)</f>
        <v>8</v>
      </c>
      <c r="AC39" s="39">
        <f t="shared" ref="AC39" si="126">AC38*AB39</f>
        <v>0</v>
      </c>
    </row>
    <row r="40" spans="1:29" x14ac:dyDescent="0.25">
      <c r="A40" s="35" t="s">
        <v>209</v>
      </c>
      <c r="B40" s="82">
        <f>ROUNDUP(B18/8,0)</f>
        <v>9</v>
      </c>
      <c r="C40" s="39">
        <f>C38*B40</f>
        <v>0</v>
      </c>
      <c r="D40" s="82">
        <f t="shared" ref="D40" si="127">ROUNDUP(D18/8,0)</f>
        <v>9</v>
      </c>
      <c r="E40" s="39">
        <f t="shared" ref="E40" si="128">E38*D40</f>
        <v>213.43949999999998</v>
      </c>
      <c r="F40" s="82">
        <f t="shared" ref="F40" si="129">ROUNDUP(F18/8,0)</f>
        <v>9</v>
      </c>
      <c r="G40" s="39">
        <f t="shared" ref="G40" si="130">G38*F40</f>
        <v>213.43949999999998</v>
      </c>
      <c r="H40" s="82">
        <f t="shared" ref="H40" si="131">ROUNDUP(H18/8,0)</f>
        <v>9</v>
      </c>
      <c r="I40" s="39">
        <f t="shared" ref="I40" si="132">I38*H40</f>
        <v>213.43949999999998</v>
      </c>
      <c r="J40" s="82">
        <f t="shared" ref="J40" si="133">ROUNDUP(J18/8,0)</f>
        <v>9</v>
      </c>
      <c r="K40" s="39">
        <f t="shared" ref="K40" si="134">K38*J40</f>
        <v>213.43949999999998</v>
      </c>
      <c r="L40" s="82">
        <f t="shared" ref="L40" si="135">ROUNDUP(L18/8,0)</f>
        <v>9</v>
      </c>
      <c r="M40" s="39">
        <f t="shared" ref="M40" si="136">M38*L40</f>
        <v>213.43949999999998</v>
      </c>
      <c r="N40" s="82">
        <f t="shared" ref="N40" si="137">ROUNDUP(N18/8,0)</f>
        <v>9</v>
      </c>
      <c r="O40" s="39">
        <f t="shared" ref="O40" si="138">O38*N40</f>
        <v>213.43949999999998</v>
      </c>
      <c r="P40" s="82">
        <f t="shared" ref="P40" si="139">ROUNDUP(P18/8,0)</f>
        <v>9</v>
      </c>
      <c r="Q40" s="39">
        <f t="shared" ref="Q40" si="140">Q38*P40</f>
        <v>213.43949999999998</v>
      </c>
      <c r="R40" s="82">
        <f t="shared" ref="R40" si="141">ROUNDUP(R18/8,0)</f>
        <v>9</v>
      </c>
      <c r="S40" s="39">
        <f t="shared" ref="S40" si="142">S38*R40</f>
        <v>213.43949999999998</v>
      </c>
      <c r="T40" s="82">
        <f t="shared" ref="T40" si="143">ROUNDUP(T18/8,0)</f>
        <v>9</v>
      </c>
      <c r="U40" s="39">
        <f t="shared" ref="U40" si="144">U38*T40</f>
        <v>213.43949999999998</v>
      </c>
      <c r="V40" s="82">
        <f t="shared" ref="V40" si="145">ROUNDUP(V18/8,0)</f>
        <v>9</v>
      </c>
      <c r="W40" s="39">
        <f t="shared" ref="W40" si="146">W38*V40</f>
        <v>213.43949999999998</v>
      </c>
      <c r="X40" s="82">
        <f t="shared" ref="X40" si="147">ROUNDUP(X18/8,0)</f>
        <v>9</v>
      </c>
      <c r="Y40" s="39">
        <f t="shared" ref="Y40" si="148">Y38*X40</f>
        <v>213.43949999999998</v>
      </c>
      <c r="Z40" s="82">
        <f t="shared" ref="Z40" si="149">ROUNDUP(Z18/8,0)</f>
        <v>9</v>
      </c>
      <c r="AA40" s="39">
        <f t="shared" ref="AA40" si="150">AA38*Z40</f>
        <v>213.43949999999998</v>
      </c>
      <c r="AB40" s="82">
        <f t="shared" ref="AB40" si="151">ROUNDUP(AB18/8,0)</f>
        <v>9</v>
      </c>
      <c r="AC40" s="39">
        <f t="shared" ref="AC40" si="152">AC38*AB40</f>
        <v>0</v>
      </c>
    </row>
    <row r="41" spans="1:29" x14ac:dyDescent="0.25">
      <c r="A41" s="35" t="s">
        <v>212</v>
      </c>
      <c r="B41" s="83"/>
      <c r="C41" s="37">
        <f>SUM(C39:C40)</f>
        <v>0</v>
      </c>
      <c r="D41" s="83"/>
      <c r="E41" s="37">
        <f t="shared" ref="E41" si="153">SUM(E39:E40)</f>
        <v>403.1635</v>
      </c>
      <c r="F41" s="83"/>
      <c r="G41" s="37">
        <f t="shared" ref="G41" si="154">SUM(G39:G40)</f>
        <v>403.1635</v>
      </c>
      <c r="H41" s="83"/>
      <c r="I41" s="37">
        <f t="shared" ref="I41" si="155">SUM(I39:I40)</f>
        <v>403.1635</v>
      </c>
      <c r="J41" s="83"/>
      <c r="K41" s="37">
        <f t="shared" ref="K41" si="156">SUM(K39:K40)</f>
        <v>403.1635</v>
      </c>
      <c r="L41" s="83"/>
      <c r="M41" s="37">
        <f t="shared" ref="M41" si="157">SUM(M39:M40)</f>
        <v>403.1635</v>
      </c>
      <c r="N41" s="83"/>
      <c r="O41" s="37">
        <f t="shared" ref="O41" si="158">SUM(O39:O40)</f>
        <v>403.1635</v>
      </c>
      <c r="P41" s="83"/>
      <c r="Q41" s="37">
        <f t="shared" ref="Q41" si="159">SUM(Q39:Q40)</f>
        <v>403.1635</v>
      </c>
      <c r="R41" s="83"/>
      <c r="S41" s="37">
        <f t="shared" ref="S41" si="160">SUM(S39:S40)</f>
        <v>403.1635</v>
      </c>
      <c r="T41" s="83"/>
      <c r="U41" s="37">
        <f t="shared" ref="U41" si="161">SUM(U39:U40)</f>
        <v>403.1635</v>
      </c>
      <c r="V41" s="83"/>
      <c r="W41" s="37">
        <f t="shared" ref="W41" si="162">SUM(W39:W40)</f>
        <v>403.1635</v>
      </c>
      <c r="X41" s="83"/>
      <c r="Y41" s="37">
        <f t="shared" ref="Y41" si="163">SUM(Y39:Y40)</f>
        <v>403.1635</v>
      </c>
      <c r="Z41" s="83"/>
      <c r="AA41" s="37">
        <f t="shared" ref="AA41" si="164">SUM(AA39:AA40)</f>
        <v>403.1635</v>
      </c>
      <c r="AB41" s="83"/>
      <c r="AC41" s="37">
        <f t="shared" ref="AC41" si="165">SUM(AC39:AC40)</f>
        <v>0</v>
      </c>
    </row>
    <row r="42" spans="1:29" x14ac:dyDescent="0.25">
      <c r="A42" s="35" t="s">
        <v>210</v>
      </c>
      <c r="B42" s="82"/>
      <c r="C42" s="39">
        <f>C41*C20</f>
        <v>0</v>
      </c>
      <c r="D42" s="82"/>
      <c r="E42" s="39">
        <f t="shared" ref="E42" si="166">E41*E20</f>
        <v>403.1635</v>
      </c>
      <c r="F42" s="82"/>
      <c r="G42" s="39">
        <f t="shared" ref="G42" si="167">G41*G20</f>
        <v>403.1635</v>
      </c>
      <c r="H42" s="82"/>
      <c r="I42" s="39">
        <f t="shared" ref="I42" si="168">I41*I20</f>
        <v>403.1635</v>
      </c>
      <c r="J42" s="82"/>
      <c r="K42" s="39">
        <f t="shared" ref="K42" si="169">K41*K20</f>
        <v>806.327</v>
      </c>
      <c r="L42" s="82"/>
      <c r="M42" s="39">
        <f t="shared" ref="M42" si="170">M41*M20</f>
        <v>403.1635</v>
      </c>
      <c r="N42" s="82"/>
      <c r="O42" s="39">
        <f t="shared" ref="O42" si="171">O41*O20</f>
        <v>806.327</v>
      </c>
      <c r="P42" s="82"/>
      <c r="Q42" s="39">
        <f t="shared" ref="Q42" si="172">Q41*Q20</f>
        <v>806.327</v>
      </c>
      <c r="R42" s="82"/>
      <c r="S42" s="39">
        <f t="shared" ref="S42" si="173">S41*S20</f>
        <v>1209.4904999999999</v>
      </c>
      <c r="T42" s="82"/>
      <c r="U42" s="39">
        <f t="shared" ref="U42" si="174">U41*U20</f>
        <v>403.1635</v>
      </c>
      <c r="V42" s="82"/>
      <c r="W42" s="39">
        <f t="shared" ref="W42" si="175">W41*W20</f>
        <v>806.327</v>
      </c>
      <c r="X42" s="82"/>
      <c r="Y42" s="39">
        <f t="shared" ref="Y42" si="176">Y41*Y20</f>
        <v>403.1635</v>
      </c>
      <c r="Z42" s="82"/>
      <c r="AA42" s="39">
        <f t="shared" ref="AA42" si="177">AA41*AA20</f>
        <v>806.327</v>
      </c>
      <c r="AB42" s="82"/>
      <c r="AC42" s="39">
        <f t="shared" ref="AC42" si="178">AC41*AC20</f>
        <v>0</v>
      </c>
    </row>
    <row r="43" spans="1:29" x14ac:dyDescent="0.25">
      <c r="A43" s="78"/>
      <c r="B43" s="84"/>
      <c r="C43" s="80"/>
      <c r="D43" s="84"/>
      <c r="E43" s="80"/>
      <c r="F43" s="84"/>
      <c r="G43" s="80"/>
      <c r="H43" s="84"/>
      <c r="I43" s="80"/>
      <c r="J43" s="84"/>
      <c r="K43" s="80"/>
      <c r="L43" s="84"/>
      <c r="M43" s="80"/>
      <c r="N43" s="84"/>
      <c r="O43" s="80"/>
      <c r="P43" s="84"/>
      <c r="Q43" s="80"/>
      <c r="R43" s="84"/>
      <c r="S43" s="80"/>
      <c r="T43" s="84"/>
      <c r="U43" s="80"/>
      <c r="V43" s="84"/>
      <c r="W43" s="80"/>
      <c r="X43" s="84"/>
      <c r="Y43" s="80"/>
      <c r="Z43" s="84"/>
      <c r="AA43" s="80"/>
      <c r="AB43" s="84"/>
      <c r="AC43" s="80"/>
    </row>
    <row r="44" spans="1:29" x14ac:dyDescent="0.25">
      <c r="A44" s="88" t="s">
        <v>214</v>
      </c>
    </row>
    <row r="45" spans="1:29" x14ac:dyDescent="0.25">
      <c r="A45" s="89">
        <f>SUM(C21:AC21)</f>
        <v>228634.8</v>
      </c>
    </row>
    <row r="46" spans="1:29" x14ac:dyDescent="0.25">
      <c r="A46" s="88" t="s">
        <v>215</v>
      </c>
    </row>
    <row r="47" spans="1:29" x14ac:dyDescent="0.25">
      <c r="A47" s="89">
        <f>SUM(C32:AC32)</f>
        <v>2149.2000000000003</v>
      </c>
    </row>
    <row r="48" spans="1:29" x14ac:dyDescent="0.25">
      <c r="A48" s="88" t="s">
        <v>216</v>
      </c>
    </row>
    <row r="49" spans="1:1" x14ac:dyDescent="0.25">
      <c r="A49" s="89">
        <f>SUM(C42:AC42)</f>
        <v>7660.1064999999999</v>
      </c>
    </row>
    <row r="50" spans="1:1" x14ac:dyDescent="0.25">
      <c r="A50" s="88" t="s">
        <v>217</v>
      </c>
    </row>
    <row r="51" spans="1:1" x14ac:dyDescent="0.25">
      <c r="A51" s="89">
        <f>A45+A47+A49</f>
        <v>238444.10649999999</v>
      </c>
    </row>
  </sheetData>
  <mergeCells count="56">
    <mergeCell ref="X4:Y4"/>
    <mergeCell ref="B4:C4"/>
    <mergeCell ref="D4:E4"/>
    <mergeCell ref="F4:G4"/>
    <mergeCell ref="H4:I4"/>
    <mergeCell ref="J4:K4"/>
    <mergeCell ref="L4:M4"/>
    <mergeCell ref="AB15:AC15"/>
    <mergeCell ref="Z4:AA4"/>
    <mergeCell ref="AB4:AC4"/>
    <mergeCell ref="B15:C15"/>
    <mergeCell ref="D15:E15"/>
    <mergeCell ref="F15:G15"/>
    <mergeCell ref="H15:I15"/>
    <mergeCell ref="J15:K15"/>
    <mergeCell ref="L15:M15"/>
    <mergeCell ref="N15:O15"/>
    <mergeCell ref="P15:Q15"/>
    <mergeCell ref="N4:O4"/>
    <mergeCell ref="P4:Q4"/>
    <mergeCell ref="R4:S4"/>
    <mergeCell ref="T4:U4"/>
    <mergeCell ref="V4:W4"/>
    <mergeCell ref="R15:S15"/>
    <mergeCell ref="T15:U15"/>
    <mergeCell ref="V15:W15"/>
    <mergeCell ref="X15:Y15"/>
    <mergeCell ref="Z15:AA15"/>
    <mergeCell ref="X24:Y24"/>
    <mergeCell ref="B24:C24"/>
    <mergeCell ref="D24:E24"/>
    <mergeCell ref="F24:G24"/>
    <mergeCell ref="H24:I24"/>
    <mergeCell ref="J24:K24"/>
    <mergeCell ref="L24:M24"/>
    <mergeCell ref="AB35:AC35"/>
    <mergeCell ref="Z24:AA24"/>
    <mergeCell ref="AB24:AC24"/>
    <mergeCell ref="B35:C35"/>
    <mergeCell ref="D35:E35"/>
    <mergeCell ref="F35:G35"/>
    <mergeCell ref="H35:I35"/>
    <mergeCell ref="J35:K35"/>
    <mergeCell ref="L35:M35"/>
    <mergeCell ref="N35:O35"/>
    <mergeCell ref="P35:Q35"/>
    <mergeCell ref="N24:O24"/>
    <mergeCell ref="P24:Q24"/>
    <mergeCell ref="R24:S24"/>
    <mergeCell ref="T24:U24"/>
    <mergeCell ref="V24:W24"/>
    <mergeCell ref="R35:S35"/>
    <mergeCell ref="T35:U35"/>
    <mergeCell ref="V35:W35"/>
    <mergeCell ref="X35:Y35"/>
    <mergeCell ref="Z35:AA35"/>
  </mergeCells>
  <pageMargins left="0.51181102362204722" right="0.51181102362204722" top="0.78740157480314965" bottom="0.78740157480314965" header="0.51181102362204722" footer="0.51181102362204722"/>
  <pageSetup paperSize="9" scale="56" firstPageNumber="0" fitToWidth="2" orientation="portrait" r:id="rId1"/>
  <colBreaks count="2" manualBreakCount="2">
    <brk id="11" max="1048575" man="1"/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6"/>
  <sheetViews>
    <sheetView topLeftCell="A16" zoomScale="115" zoomScaleNormal="115" workbookViewId="0">
      <selection activeCell="D127" sqref="D127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104" t="s">
        <v>0</v>
      </c>
      <c r="B1" s="104"/>
      <c r="C1" s="104"/>
      <c r="D1" s="104"/>
    </row>
    <row r="2" spans="1:4" ht="15.75" x14ac:dyDescent="0.25">
      <c r="A2" s="2"/>
      <c r="B2" s="2"/>
      <c r="C2" s="2"/>
      <c r="D2" s="2"/>
    </row>
    <row r="3" spans="1:4" x14ac:dyDescent="0.25">
      <c r="A3" s="105" t="s">
        <v>1</v>
      </c>
      <c r="B3" s="105"/>
      <c r="C3" s="105"/>
      <c r="D3" s="105"/>
    </row>
    <row r="4" spans="1:4" x14ac:dyDescent="0.25">
      <c r="A4" s="3"/>
      <c r="B4" s="3"/>
      <c r="C4" s="3"/>
      <c r="D4" s="3"/>
    </row>
    <row r="5" spans="1:4" x14ac:dyDescent="0.25">
      <c r="A5" s="4" t="s">
        <v>2</v>
      </c>
      <c r="B5" s="5" t="s">
        <v>3</v>
      </c>
      <c r="C5" s="6"/>
      <c r="D5" s="7"/>
    </row>
    <row r="6" spans="1:4" x14ac:dyDescent="0.25">
      <c r="A6" s="4" t="s">
        <v>4</v>
      </c>
      <c r="B6" s="5" t="s">
        <v>5</v>
      </c>
      <c r="C6" s="6"/>
      <c r="D6" s="7"/>
    </row>
    <row r="7" spans="1:4" x14ac:dyDescent="0.25">
      <c r="A7" s="4" t="s">
        <v>6</v>
      </c>
      <c r="B7" s="5" t="s">
        <v>7</v>
      </c>
      <c r="C7" s="6"/>
      <c r="D7" s="7"/>
    </row>
    <row r="8" spans="1:4" x14ac:dyDescent="0.25">
      <c r="A8" s="4" t="s">
        <v>8</v>
      </c>
      <c r="B8" s="5" t="s">
        <v>9</v>
      </c>
      <c r="C8" s="6"/>
      <c r="D8" s="7">
        <v>24</v>
      </c>
    </row>
    <row r="10" spans="1:4" x14ac:dyDescent="0.25">
      <c r="A10" s="105" t="s">
        <v>10</v>
      </c>
      <c r="B10" s="105"/>
      <c r="C10" s="105"/>
      <c r="D10" s="105"/>
    </row>
    <row r="11" spans="1:4" x14ac:dyDescent="0.25">
      <c r="A11" s="3"/>
      <c r="B11" s="3"/>
      <c r="C11" s="3"/>
      <c r="D11" s="3"/>
    </row>
    <row r="12" spans="1:4" ht="38.25" customHeight="1" x14ac:dyDescent="0.25">
      <c r="A12" s="106" t="s">
        <v>11</v>
      </c>
      <c r="B12" s="106"/>
      <c r="C12" s="8" t="s">
        <v>12</v>
      </c>
      <c r="D12" s="9" t="s">
        <v>13</v>
      </c>
    </row>
    <row r="13" spans="1:4" s="11" customFormat="1" ht="12.75" x14ac:dyDescent="0.2">
      <c r="A13" s="107" t="s">
        <v>110</v>
      </c>
      <c r="B13" s="107"/>
      <c r="C13" s="10" t="s">
        <v>15</v>
      </c>
      <c r="D13" s="10">
        <v>1</v>
      </c>
    </row>
    <row r="15" spans="1:4" x14ac:dyDescent="0.25">
      <c r="A15" s="105" t="s">
        <v>16</v>
      </c>
      <c r="B15" s="105"/>
      <c r="C15" s="105"/>
      <c r="D15" s="105"/>
    </row>
    <row r="16" spans="1:4" x14ac:dyDescent="0.25">
      <c r="A16" s="3"/>
      <c r="B16" s="3"/>
      <c r="C16" s="3"/>
      <c r="D16" s="3"/>
    </row>
    <row r="17" spans="1:4" x14ac:dyDescent="0.25">
      <c r="A17" s="4">
        <v>1</v>
      </c>
      <c r="B17" s="4" t="s">
        <v>17</v>
      </c>
      <c r="C17" s="108" t="s">
        <v>111</v>
      </c>
      <c r="D17" s="108"/>
    </row>
    <row r="18" spans="1:4" x14ac:dyDescent="0.25">
      <c r="A18" s="4">
        <v>2</v>
      </c>
      <c r="B18" s="4" t="s">
        <v>19</v>
      </c>
      <c r="C18" s="108" t="s">
        <v>112</v>
      </c>
      <c r="D18" s="108"/>
    </row>
    <row r="19" spans="1:4" x14ac:dyDescent="0.25">
      <c r="A19" s="4">
        <v>3</v>
      </c>
      <c r="B19" s="4" t="s">
        <v>21</v>
      </c>
      <c r="C19" s="117">
        <v>3431.06</v>
      </c>
      <c r="D19" s="117"/>
    </row>
    <row r="20" spans="1:4" x14ac:dyDescent="0.25">
      <c r="A20" s="4">
        <v>4</v>
      </c>
      <c r="B20" s="4" t="s">
        <v>22</v>
      </c>
      <c r="C20" s="108" t="s">
        <v>196</v>
      </c>
      <c r="D20" s="108"/>
    </row>
    <row r="21" spans="1:4" x14ac:dyDescent="0.25">
      <c r="A21" s="4">
        <v>5</v>
      </c>
      <c r="B21" s="4" t="s">
        <v>23</v>
      </c>
      <c r="C21" s="108"/>
      <c r="D21" s="108"/>
    </row>
    <row r="23" spans="1:4" x14ac:dyDescent="0.25">
      <c r="A23" s="105" t="s">
        <v>24</v>
      </c>
      <c r="B23" s="105"/>
      <c r="C23" s="105"/>
      <c r="D23" s="105"/>
    </row>
    <row r="25" spans="1:4" ht="12.75" customHeight="1" x14ac:dyDescent="0.25">
      <c r="A25" s="12">
        <v>1</v>
      </c>
      <c r="B25" s="110" t="s">
        <v>25</v>
      </c>
      <c r="C25" s="110"/>
      <c r="D25" s="12" t="s">
        <v>26</v>
      </c>
    </row>
    <row r="26" spans="1:4" ht="12.75" customHeight="1" x14ac:dyDescent="0.25">
      <c r="A26" s="8" t="s">
        <v>2</v>
      </c>
      <c r="B26" s="111" t="s">
        <v>27</v>
      </c>
      <c r="C26" s="111"/>
      <c r="D26" s="14">
        <v>3431.06</v>
      </c>
    </row>
    <row r="27" spans="1:4" ht="12.75" customHeight="1" x14ac:dyDescent="0.25">
      <c r="A27" s="8" t="s">
        <v>4</v>
      </c>
      <c r="B27" s="111" t="s">
        <v>28</v>
      </c>
      <c r="C27" s="111"/>
      <c r="D27" s="14"/>
    </row>
    <row r="28" spans="1:4" ht="12.75" customHeight="1" x14ac:dyDescent="0.25">
      <c r="A28" s="8" t="s">
        <v>6</v>
      </c>
      <c r="B28" s="111" t="s">
        <v>29</v>
      </c>
      <c r="C28" s="111"/>
      <c r="D28" s="14">
        <f>D26*0.2</f>
        <v>686.21199999999999</v>
      </c>
    </row>
    <row r="29" spans="1:4" ht="12.75" customHeight="1" x14ac:dyDescent="0.25">
      <c r="A29" s="8" t="s">
        <v>8</v>
      </c>
      <c r="B29" s="111" t="s">
        <v>30</v>
      </c>
      <c r="C29" s="111"/>
      <c r="D29" s="14"/>
    </row>
    <row r="30" spans="1:4" ht="12.75" customHeight="1" x14ac:dyDescent="0.25">
      <c r="A30" s="8" t="s">
        <v>31</v>
      </c>
      <c r="B30" s="111" t="s">
        <v>32</v>
      </c>
      <c r="C30" s="111"/>
      <c r="D30" s="14"/>
    </row>
    <row r="31" spans="1:4" x14ac:dyDescent="0.25">
      <c r="A31" s="8"/>
      <c r="B31" s="111"/>
      <c r="C31" s="111"/>
      <c r="D31" s="14"/>
    </row>
    <row r="32" spans="1:4" ht="12.75" customHeight="1" x14ac:dyDescent="0.25">
      <c r="A32" s="8" t="s">
        <v>33</v>
      </c>
      <c r="B32" s="111" t="s">
        <v>34</v>
      </c>
      <c r="C32" s="111"/>
      <c r="D32" s="14"/>
    </row>
    <row r="33" spans="1:4" ht="12.75" customHeight="1" x14ac:dyDescent="0.25">
      <c r="A33" s="110" t="s">
        <v>35</v>
      </c>
      <c r="B33" s="110"/>
      <c r="C33" s="110"/>
      <c r="D33" s="15">
        <f>SUM(D26:D32)</f>
        <v>4117.2719999999999</v>
      </c>
    </row>
    <row r="36" spans="1:4" x14ac:dyDescent="0.25">
      <c r="A36" s="105" t="s">
        <v>36</v>
      </c>
      <c r="B36" s="105"/>
      <c r="C36" s="105"/>
      <c r="D36" s="105"/>
    </row>
    <row r="37" spans="1:4" x14ac:dyDescent="0.25">
      <c r="A37" s="16"/>
    </row>
    <row r="38" spans="1:4" x14ac:dyDescent="0.25">
      <c r="A38" s="112" t="s">
        <v>37</v>
      </c>
      <c r="B38" s="112"/>
      <c r="C38" s="112"/>
      <c r="D38" s="112"/>
    </row>
    <row r="40" spans="1:4" ht="12.75" customHeight="1" x14ac:dyDescent="0.25">
      <c r="A40" s="12" t="s">
        <v>38</v>
      </c>
      <c r="B40" s="110" t="s">
        <v>39</v>
      </c>
      <c r="C40" s="110"/>
      <c r="D40" s="12" t="s">
        <v>26</v>
      </c>
    </row>
    <row r="41" spans="1:4" x14ac:dyDescent="0.25">
      <c r="A41" s="8" t="s">
        <v>2</v>
      </c>
      <c r="B41" s="13" t="s">
        <v>40</v>
      </c>
      <c r="C41" s="17">
        <f>TRUNC(1/12,4)</f>
        <v>8.3299999999999999E-2</v>
      </c>
      <c r="D41" s="14">
        <f>TRUNC($D$33*C41,2)</f>
        <v>342.96</v>
      </c>
    </row>
    <row r="42" spans="1:4" x14ac:dyDescent="0.25">
      <c r="A42" s="8" t="s">
        <v>4</v>
      </c>
      <c r="B42" s="13" t="s">
        <v>41</v>
      </c>
      <c r="C42" s="17">
        <f>TRUNC(((1+1/3)/12),4)</f>
        <v>0.1111</v>
      </c>
      <c r="D42" s="14">
        <f>TRUNC($D$33*C42,2)</f>
        <v>457.42</v>
      </c>
    </row>
    <row r="43" spans="1:4" ht="12.75" customHeight="1" x14ac:dyDescent="0.25">
      <c r="A43" s="110" t="s">
        <v>35</v>
      </c>
      <c r="B43" s="110"/>
      <c r="C43" s="18">
        <f>SUM(C41:C42)</f>
        <v>0.19440000000000002</v>
      </c>
      <c r="D43" s="19">
        <f>SUM(D41:D42)</f>
        <v>800.38</v>
      </c>
    </row>
    <row r="46" spans="1:4" ht="12.75" customHeight="1" x14ac:dyDescent="0.25">
      <c r="A46" s="113" t="s">
        <v>42</v>
      </c>
      <c r="B46" s="113"/>
      <c r="C46" s="113"/>
      <c r="D46" s="113"/>
    </row>
    <row r="48" spans="1:4" x14ac:dyDescent="0.25">
      <c r="A48" s="12" t="s">
        <v>43</v>
      </c>
      <c r="B48" s="12" t="s">
        <v>44</v>
      </c>
      <c r="C48" s="12" t="s">
        <v>45</v>
      </c>
      <c r="D48" s="12" t="s">
        <v>26</v>
      </c>
    </row>
    <row r="49" spans="1:4" x14ac:dyDescent="0.25">
      <c r="A49" s="8" t="s">
        <v>2</v>
      </c>
      <c r="B49" s="13" t="s">
        <v>46</v>
      </c>
      <c r="C49" s="20">
        <v>0.2</v>
      </c>
      <c r="D49" s="14">
        <f t="shared" ref="D49:D56" si="0">TRUNC(($D$33+$D$43)*C49,2)</f>
        <v>983.53</v>
      </c>
    </row>
    <row r="50" spans="1:4" x14ac:dyDescent="0.25">
      <c r="A50" s="8" t="s">
        <v>4</v>
      </c>
      <c r="B50" s="13" t="s">
        <v>47</v>
      </c>
      <c r="C50" s="20">
        <v>2.5000000000000001E-2</v>
      </c>
      <c r="D50" s="14">
        <f t="shared" si="0"/>
        <v>122.94</v>
      </c>
    </row>
    <row r="51" spans="1:4" x14ac:dyDescent="0.25">
      <c r="A51" s="8" t="s">
        <v>6</v>
      </c>
      <c r="B51" s="13" t="s">
        <v>48</v>
      </c>
      <c r="C51" s="21">
        <v>0.03</v>
      </c>
      <c r="D51" s="14">
        <f t="shared" si="0"/>
        <v>147.52000000000001</v>
      </c>
    </row>
    <row r="52" spans="1:4" x14ac:dyDescent="0.25">
      <c r="A52" s="8" t="s">
        <v>8</v>
      </c>
      <c r="B52" s="13" t="s">
        <v>49</v>
      </c>
      <c r="C52" s="20">
        <v>1.4999999999999999E-2</v>
      </c>
      <c r="D52" s="14">
        <f t="shared" si="0"/>
        <v>73.760000000000005</v>
      </c>
    </row>
    <row r="53" spans="1:4" x14ac:dyDescent="0.25">
      <c r="A53" s="8" t="s">
        <v>31</v>
      </c>
      <c r="B53" s="13" t="s">
        <v>50</v>
      </c>
      <c r="C53" s="20">
        <v>0.01</v>
      </c>
      <c r="D53" s="14">
        <f t="shared" si="0"/>
        <v>49.17</v>
      </c>
    </row>
    <row r="54" spans="1:4" x14ac:dyDescent="0.25">
      <c r="A54" s="8" t="s">
        <v>51</v>
      </c>
      <c r="B54" s="13" t="s">
        <v>52</v>
      </c>
      <c r="C54" s="20">
        <v>6.0000000000000001E-3</v>
      </c>
      <c r="D54" s="14">
        <f t="shared" si="0"/>
        <v>29.5</v>
      </c>
    </row>
    <row r="55" spans="1:4" x14ac:dyDescent="0.25">
      <c r="A55" s="8" t="s">
        <v>33</v>
      </c>
      <c r="B55" s="13" t="s">
        <v>53</v>
      </c>
      <c r="C55" s="20">
        <v>2E-3</v>
      </c>
      <c r="D55" s="14">
        <f t="shared" si="0"/>
        <v>9.83</v>
      </c>
    </row>
    <row r="56" spans="1:4" x14ac:dyDescent="0.25">
      <c r="A56" s="8" t="s">
        <v>54</v>
      </c>
      <c r="B56" s="13" t="s">
        <v>55</v>
      </c>
      <c r="C56" s="20">
        <v>0.08</v>
      </c>
      <c r="D56" s="14">
        <f t="shared" si="0"/>
        <v>393.41</v>
      </c>
    </row>
    <row r="57" spans="1:4" ht="12.75" customHeight="1" x14ac:dyDescent="0.25">
      <c r="A57" s="110" t="s">
        <v>56</v>
      </c>
      <c r="B57" s="110"/>
      <c r="C57" s="22">
        <f>SUM(C49:C56)</f>
        <v>0.36800000000000005</v>
      </c>
      <c r="D57" s="19">
        <f>SUM(D49:D56)</f>
        <v>1809.66</v>
      </c>
    </row>
    <row r="60" spans="1:4" x14ac:dyDescent="0.25">
      <c r="A60" s="112" t="s">
        <v>57</v>
      </c>
      <c r="B60" s="112"/>
      <c r="C60" s="112"/>
      <c r="D60" s="112"/>
    </row>
    <row r="62" spans="1:4" ht="12.75" customHeight="1" x14ac:dyDescent="0.25">
      <c r="A62" s="12" t="s">
        <v>58</v>
      </c>
      <c r="B62" s="114" t="s">
        <v>59</v>
      </c>
      <c r="C62" s="114"/>
      <c r="D62" s="12" t="s">
        <v>26</v>
      </c>
    </row>
    <row r="63" spans="1:4" ht="12.75" customHeight="1" x14ac:dyDescent="0.25">
      <c r="A63" s="8" t="s">
        <v>2</v>
      </c>
      <c r="B63" s="111" t="s">
        <v>60</v>
      </c>
      <c r="C63" s="111"/>
      <c r="D63" s="14">
        <f>IF((26*2*4.9)&gt;(D26*0.06),(26*2*4.9)-(D26*0.06),0)</f>
        <v>48.93640000000002</v>
      </c>
    </row>
    <row r="64" spans="1:4" ht="12.75" customHeight="1" x14ac:dyDescent="0.25">
      <c r="A64" s="8" t="s">
        <v>4</v>
      </c>
      <c r="B64" s="111" t="s">
        <v>61</v>
      </c>
      <c r="C64" s="111"/>
      <c r="D64" s="14">
        <f>22*20.49*0.95</f>
        <v>428.24099999999993</v>
      </c>
    </row>
    <row r="65" spans="1:5" ht="12.75" customHeight="1" x14ac:dyDescent="0.25">
      <c r="A65" s="8" t="s">
        <v>6</v>
      </c>
      <c r="B65" s="111" t="s">
        <v>62</v>
      </c>
      <c r="C65" s="111"/>
      <c r="D65" s="14"/>
    </row>
    <row r="66" spans="1:5" ht="12.75" customHeight="1" x14ac:dyDescent="0.25">
      <c r="A66" s="8" t="s">
        <v>8</v>
      </c>
      <c r="B66" s="111" t="s">
        <v>34</v>
      </c>
      <c r="C66" s="111"/>
      <c r="D66" s="14"/>
    </row>
    <row r="67" spans="1:5" ht="12.75" customHeight="1" x14ac:dyDescent="0.25">
      <c r="A67" s="110" t="s">
        <v>35</v>
      </c>
      <c r="B67" s="110"/>
      <c r="C67" s="110"/>
      <c r="D67" s="19">
        <f>SUM(D63:D66)</f>
        <v>477.17739999999992</v>
      </c>
    </row>
    <row r="70" spans="1:5" x14ac:dyDescent="0.25">
      <c r="A70" s="112" t="s">
        <v>63</v>
      </c>
      <c r="B70" s="112"/>
      <c r="C70" s="112"/>
      <c r="D70" s="112"/>
    </row>
    <row r="72" spans="1:5" ht="12.75" customHeight="1" x14ac:dyDescent="0.25">
      <c r="A72" s="12">
        <v>2</v>
      </c>
      <c r="B72" s="114" t="s">
        <v>64</v>
      </c>
      <c r="C72" s="114"/>
      <c r="D72" s="12" t="s">
        <v>26</v>
      </c>
    </row>
    <row r="73" spans="1:5" ht="12.75" customHeight="1" x14ac:dyDescent="0.25">
      <c r="A73" s="8" t="s">
        <v>38</v>
      </c>
      <c r="B73" s="111" t="s">
        <v>39</v>
      </c>
      <c r="C73" s="111"/>
      <c r="D73" s="23">
        <f>D43</f>
        <v>800.38</v>
      </c>
    </row>
    <row r="74" spans="1:5" ht="12.75" customHeight="1" x14ac:dyDescent="0.25">
      <c r="A74" s="8" t="s">
        <v>43</v>
      </c>
      <c r="B74" s="111" t="s">
        <v>44</v>
      </c>
      <c r="C74" s="111"/>
      <c r="D74" s="23">
        <f>D57</f>
        <v>1809.66</v>
      </c>
    </row>
    <row r="75" spans="1:5" ht="12.75" customHeight="1" x14ac:dyDescent="0.25">
      <c r="A75" s="8" t="s">
        <v>58</v>
      </c>
      <c r="B75" s="111" t="s">
        <v>59</v>
      </c>
      <c r="C75" s="111"/>
      <c r="D75" s="23">
        <f>D67</f>
        <v>477.17739999999992</v>
      </c>
    </row>
    <row r="76" spans="1:5" ht="12.75" customHeight="1" x14ac:dyDescent="0.25">
      <c r="A76" s="110" t="s">
        <v>35</v>
      </c>
      <c r="B76" s="110"/>
      <c r="C76" s="110"/>
      <c r="D76" s="19">
        <f>SUM(D73:D75)</f>
        <v>3087.2174</v>
      </c>
    </row>
    <row r="77" spans="1:5" x14ac:dyDescent="0.25">
      <c r="A77" s="24"/>
      <c r="E77" s="25"/>
    </row>
    <row r="79" spans="1:5" x14ac:dyDescent="0.25">
      <c r="A79" s="105" t="s">
        <v>65</v>
      </c>
      <c r="B79" s="105"/>
      <c r="C79" s="105"/>
      <c r="D79" s="105"/>
      <c r="E79" s="26"/>
    </row>
    <row r="80" spans="1:5" ht="12.75" customHeight="1" x14ac:dyDescent="0.25">
      <c r="E80" s="25"/>
    </row>
    <row r="81" spans="1:4" ht="12.75" customHeight="1" x14ac:dyDescent="0.25">
      <c r="A81" s="12">
        <v>3</v>
      </c>
      <c r="B81" s="114" t="s">
        <v>66</v>
      </c>
      <c r="C81" s="114"/>
      <c r="D81" s="12" t="s">
        <v>26</v>
      </c>
    </row>
    <row r="82" spans="1:4" x14ac:dyDescent="0.25">
      <c r="A82" s="8" t="s">
        <v>2</v>
      </c>
      <c r="B82" s="27" t="s">
        <v>67</v>
      </c>
      <c r="C82" s="20">
        <f>TRUNC(((1/12)*5%),4)</f>
        <v>4.1000000000000003E-3</v>
      </c>
      <c r="D82" s="14">
        <f>TRUNC($D$33*C82,2)</f>
        <v>16.88</v>
      </c>
    </row>
    <row r="83" spans="1:4" x14ac:dyDescent="0.25">
      <c r="A83" s="8" t="s">
        <v>4</v>
      </c>
      <c r="B83" s="27" t="s">
        <v>68</v>
      </c>
      <c r="C83" s="20">
        <v>0.08</v>
      </c>
      <c r="D83" s="14">
        <f>TRUNC(D82*C83,2)</f>
        <v>1.35</v>
      </c>
    </row>
    <row r="84" spans="1:4" x14ac:dyDescent="0.25">
      <c r="A84" s="8" t="s">
        <v>6</v>
      </c>
      <c r="B84" s="27" t="s">
        <v>69</v>
      </c>
      <c r="C84" s="20">
        <f>TRUNC(8%*5%*40%,4)</f>
        <v>1.6000000000000001E-3</v>
      </c>
      <c r="D84" s="14">
        <f>TRUNC($D$33*C84,2)</f>
        <v>6.58</v>
      </c>
    </row>
    <row r="85" spans="1:4" x14ac:dyDescent="0.25">
      <c r="A85" s="8" t="s">
        <v>8</v>
      </c>
      <c r="B85" s="27" t="s">
        <v>70</v>
      </c>
      <c r="C85" s="20">
        <f>TRUNC(((7/30)/12)*95%,4)</f>
        <v>1.84E-2</v>
      </c>
      <c r="D85" s="14">
        <f>TRUNC($D$33*C85,2)</f>
        <v>75.75</v>
      </c>
    </row>
    <row r="86" spans="1:4" ht="25.5" x14ac:dyDescent="0.25">
      <c r="A86" s="8" t="s">
        <v>31</v>
      </c>
      <c r="B86" s="27" t="s">
        <v>71</v>
      </c>
      <c r="C86" s="20">
        <f>C57</f>
        <v>0.36800000000000005</v>
      </c>
      <c r="D86" s="14">
        <f>TRUNC(D85*C86,2)</f>
        <v>27.87</v>
      </c>
    </row>
    <row r="87" spans="1:4" x14ac:dyDescent="0.25">
      <c r="A87" s="8" t="s">
        <v>51</v>
      </c>
      <c r="B87" s="27" t="s">
        <v>72</v>
      </c>
      <c r="C87" s="20">
        <f>TRUNC(8%*95%*40%,4)</f>
        <v>3.04E-2</v>
      </c>
      <c r="D87" s="14">
        <f>TRUNC($D$33*C87,2)</f>
        <v>125.16</v>
      </c>
    </row>
    <row r="88" spans="1:4" ht="12.75" customHeight="1" x14ac:dyDescent="0.25">
      <c r="A88" s="110" t="s">
        <v>35</v>
      </c>
      <c r="B88" s="110"/>
      <c r="C88" s="110"/>
      <c r="D88" s="19">
        <f>SUM(D82:D87)</f>
        <v>253.59</v>
      </c>
    </row>
    <row r="91" spans="1:4" x14ac:dyDescent="0.25">
      <c r="A91" s="105" t="s">
        <v>73</v>
      </c>
      <c r="B91" s="105"/>
      <c r="C91" s="105"/>
      <c r="D91" s="105"/>
    </row>
    <row r="94" spans="1:4" x14ac:dyDescent="0.25">
      <c r="A94" s="112" t="s">
        <v>74</v>
      </c>
      <c r="B94" s="112"/>
      <c r="C94" s="112"/>
      <c r="D94" s="112"/>
    </row>
    <row r="95" spans="1:4" x14ac:dyDescent="0.25">
      <c r="A95" s="16"/>
    </row>
    <row r="96" spans="1:4" ht="12.75" customHeight="1" x14ac:dyDescent="0.25">
      <c r="A96" s="12" t="s">
        <v>75</v>
      </c>
      <c r="B96" s="114" t="s">
        <v>76</v>
      </c>
      <c r="C96" s="114"/>
      <c r="D96" s="12" t="s">
        <v>26</v>
      </c>
    </row>
    <row r="97" spans="1:6" x14ac:dyDescent="0.25">
      <c r="A97" s="8" t="s">
        <v>2</v>
      </c>
      <c r="B97" s="13" t="s">
        <v>77</v>
      </c>
      <c r="C97" s="20">
        <f>TRUNC(((1+1/3)/12)/12,4)</f>
        <v>9.1999999999999998E-3</v>
      </c>
      <c r="D97" s="14">
        <f t="shared" ref="D97:D102" si="1">TRUNC(($D$33+$D$76+$D$88)*C97,2)</f>
        <v>68.61</v>
      </c>
    </row>
    <row r="98" spans="1:6" x14ac:dyDescent="0.25">
      <c r="A98" s="8" t="s">
        <v>4</v>
      </c>
      <c r="B98" s="13" t="s">
        <v>78</v>
      </c>
      <c r="C98" s="20">
        <f>TRUNC(((2/30)/12),4)</f>
        <v>5.4999999999999997E-3</v>
      </c>
      <c r="D98" s="14">
        <f t="shared" si="1"/>
        <v>41.01</v>
      </c>
    </row>
    <row r="99" spans="1:6" x14ac:dyDescent="0.25">
      <c r="A99" s="8" t="s">
        <v>6</v>
      </c>
      <c r="B99" s="13" t="s">
        <v>79</v>
      </c>
      <c r="C99" s="20">
        <f>TRUNC(((5/30)/12)*2%,4)</f>
        <v>2.0000000000000001E-4</v>
      </c>
      <c r="D99" s="14">
        <f t="shared" si="1"/>
        <v>1.49</v>
      </c>
    </row>
    <row r="100" spans="1:6" x14ac:dyDescent="0.25">
      <c r="A100" s="8" t="s">
        <v>8</v>
      </c>
      <c r="B100" s="13" t="s">
        <v>80</v>
      </c>
      <c r="C100" s="20">
        <f>TRUNC(((15/30)/12)*8%,4)</f>
        <v>3.3E-3</v>
      </c>
      <c r="D100" s="14">
        <f t="shared" si="1"/>
        <v>24.61</v>
      </c>
    </row>
    <row r="101" spans="1:6" x14ac:dyDescent="0.25">
      <c r="A101" s="8" t="s">
        <v>31</v>
      </c>
      <c r="B101" s="13" t="s">
        <v>81</v>
      </c>
      <c r="C101" s="20">
        <f>((1+1/3)/12)*3%*(4/12)</f>
        <v>1.1111111111111109E-3</v>
      </c>
      <c r="D101" s="14">
        <f t="shared" si="1"/>
        <v>8.2799999999999994</v>
      </c>
    </row>
    <row r="102" spans="1:6" x14ac:dyDescent="0.25">
      <c r="A102" s="8" t="s">
        <v>51</v>
      </c>
      <c r="B102" s="13" t="s">
        <v>82</v>
      </c>
      <c r="C102" s="20"/>
      <c r="D102" s="14">
        <f t="shared" si="1"/>
        <v>0</v>
      </c>
    </row>
    <row r="103" spans="1:6" ht="12.75" customHeight="1" x14ac:dyDescent="0.25">
      <c r="A103" s="110" t="s">
        <v>56</v>
      </c>
      <c r="B103" s="110"/>
      <c r="C103" s="110"/>
      <c r="D103" s="19">
        <f>SUM(D97:D102)</f>
        <v>144</v>
      </c>
      <c r="E103" s="26"/>
      <c r="F103" s="26"/>
    </row>
    <row r="106" spans="1:6" x14ac:dyDescent="0.25">
      <c r="A106" s="112" t="s">
        <v>83</v>
      </c>
      <c r="B106" s="112"/>
      <c r="C106" s="112"/>
      <c r="D106" s="112"/>
    </row>
    <row r="107" spans="1:6" x14ac:dyDescent="0.25">
      <c r="A107" s="16"/>
    </row>
    <row r="108" spans="1:6" ht="12.75" customHeight="1" x14ac:dyDescent="0.25">
      <c r="A108" s="12" t="s">
        <v>84</v>
      </c>
      <c r="B108" s="114" t="s">
        <v>85</v>
      </c>
      <c r="C108" s="114"/>
      <c r="D108" s="12" t="s">
        <v>26</v>
      </c>
    </row>
    <row r="109" spans="1:6" ht="12.75" customHeight="1" x14ac:dyDescent="0.25">
      <c r="A109" s="8" t="s">
        <v>2</v>
      </c>
      <c r="B109" s="111" t="s">
        <v>86</v>
      </c>
      <c r="C109" s="111"/>
      <c r="D109" s="14">
        <f>((D33+D76+D88)/220)*22*0</f>
        <v>0</v>
      </c>
    </row>
    <row r="110" spans="1:6" ht="12.75" customHeight="1" x14ac:dyDescent="0.25">
      <c r="A110" s="110" t="s">
        <v>35</v>
      </c>
      <c r="B110" s="110"/>
      <c r="C110" s="110"/>
      <c r="D110" s="19">
        <f>SUM(D109)</f>
        <v>0</v>
      </c>
    </row>
    <row r="113" spans="1:4" x14ac:dyDescent="0.25">
      <c r="A113" s="112" t="s">
        <v>87</v>
      </c>
      <c r="B113" s="112"/>
      <c r="C113" s="112"/>
      <c r="D113" s="112"/>
    </row>
    <row r="114" spans="1:4" x14ac:dyDescent="0.25">
      <c r="A114" s="16"/>
    </row>
    <row r="115" spans="1:4" ht="12.75" customHeight="1" x14ac:dyDescent="0.25">
      <c r="A115" s="12">
        <v>4</v>
      </c>
      <c r="B115" s="110" t="s">
        <v>88</v>
      </c>
      <c r="C115" s="110"/>
      <c r="D115" s="12" t="s">
        <v>26</v>
      </c>
    </row>
    <row r="116" spans="1:4" ht="12.75" customHeight="1" x14ac:dyDescent="0.25">
      <c r="A116" s="8" t="s">
        <v>75</v>
      </c>
      <c r="B116" s="111" t="s">
        <v>76</v>
      </c>
      <c r="C116" s="111"/>
      <c r="D116" s="23">
        <f>D103</f>
        <v>144</v>
      </c>
    </row>
    <row r="117" spans="1:4" ht="12.75" customHeight="1" x14ac:dyDescent="0.25">
      <c r="A117" s="8" t="s">
        <v>84</v>
      </c>
      <c r="B117" s="111" t="s">
        <v>85</v>
      </c>
      <c r="C117" s="111"/>
      <c r="D117" s="23">
        <f>D110</f>
        <v>0</v>
      </c>
    </row>
    <row r="118" spans="1:4" ht="12.75" customHeight="1" x14ac:dyDescent="0.25">
      <c r="A118" s="110" t="s">
        <v>35</v>
      </c>
      <c r="B118" s="110"/>
      <c r="C118" s="110"/>
      <c r="D118" s="19">
        <f>SUM(D116:D117)</f>
        <v>144</v>
      </c>
    </row>
    <row r="121" spans="1:4" x14ac:dyDescent="0.25">
      <c r="A121" s="105" t="s">
        <v>89</v>
      </c>
      <c r="B121" s="105"/>
      <c r="C121" s="105"/>
      <c r="D121" s="105"/>
    </row>
    <row r="123" spans="1:4" ht="12.75" customHeight="1" x14ac:dyDescent="0.25">
      <c r="A123" s="12">
        <v>5</v>
      </c>
      <c r="B123" s="115" t="s">
        <v>90</v>
      </c>
      <c r="C123" s="115"/>
      <c r="D123" s="12" t="s">
        <v>26</v>
      </c>
    </row>
    <row r="124" spans="1:4" x14ac:dyDescent="0.25">
      <c r="A124" s="8" t="s">
        <v>2</v>
      </c>
      <c r="B124" s="13" t="s">
        <v>91</v>
      </c>
      <c r="C124" s="13"/>
      <c r="D124" s="14">
        <v>66.040000000000006</v>
      </c>
    </row>
    <row r="125" spans="1:4" x14ac:dyDescent="0.25">
      <c r="A125" s="8" t="s">
        <v>4</v>
      </c>
      <c r="B125" s="13" t="s">
        <v>92</v>
      </c>
      <c r="C125" s="13"/>
      <c r="D125" s="14">
        <v>61.36</v>
      </c>
    </row>
    <row r="126" spans="1:4" x14ac:dyDescent="0.25">
      <c r="A126" s="8" t="s">
        <v>6</v>
      </c>
      <c r="B126" s="13" t="s">
        <v>93</v>
      </c>
      <c r="C126" s="13"/>
      <c r="D126" s="14">
        <v>40.22</v>
      </c>
    </row>
    <row r="127" spans="1:4" x14ac:dyDescent="0.25">
      <c r="A127" s="8" t="s">
        <v>8</v>
      </c>
      <c r="B127" s="13" t="s">
        <v>34</v>
      </c>
      <c r="C127" s="13"/>
      <c r="D127" s="14"/>
    </row>
    <row r="128" spans="1:4" ht="12.75" customHeight="1" x14ac:dyDescent="0.25">
      <c r="A128" s="110" t="s">
        <v>56</v>
      </c>
      <c r="B128" s="110"/>
      <c r="C128" s="110"/>
      <c r="D128" s="15">
        <f>SUM(D124:D127)</f>
        <v>167.62</v>
      </c>
    </row>
    <row r="131" spans="1:4" x14ac:dyDescent="0.25">
      <c r="A131" s="105" t="s">
        <v>94</v>
      </c>
      <c r="B131" s="105"/>
      <c r="C131" s="105"/>
      <c r="D131" s="105"/>
    </row>
    <row r="133" spans="1:4" x14ac:dyDescent="0.25">
      <c r="A133" s="12">
        <v>6</v>
      </c>
      <c r="B133" s="28" t="s">
        <v>95</v>
      </c>
      <c r="C133" s="12" t="s">
        <v>45</v>
      </c>
      <c r="D133" s="12" t="s">
        <v>26</v>
      </c>
    </row>
    <row r="134" spans="1:4" x14ac:dyDescent="0.25">
      <c r="A134" s="8" t="s">
        <v>2</v>
      </c>
      <c r="B134" s="13" t="s">
        <v>96</v>
      </c>
      <c r="C134" s="20">
        <v>0.05</v>
      </c>
      <c r="D134" s="23">
        <f>D154*C134</f>
        <v>388.48497000000003</v>
      </c>
    </row>
    <row r="135" spans="1:4" x14ac:dyDescent="0.25">
      <c r="A135" s="8" t="s">
        <v>4</v>
      </c>
      <c r="B135" s="13" t="s">
        <v>97</v>
      </c>
      <c r="C135" s="20">
        <v>0.06</v>
      </c>
      <c r="D135" s="14">
        <f>(D154+D134)*C135</f>
        <v>489.49106220000004</v>
      </c>
    </row>
    <row r="136" spans="1:4" x14ac:dyDescent="0.25">
      <c r="A136" s="8" t="s">
        <v>6</v>
      </c>
      <c r="B136" s="13" t="s">
        <v>98</v>
      </c>
      <c r="C136" s="17">
        <f>SUM(C137:C142)</f>
        <v>8.6499999999999994E-2</v>
      </c>
      <c r="D136" s="14">
        <f>(D154+D134+D135)*C136/(1-C136)</f>
        <v>818.85487124827591</v>
      </c>
    </row>
    <row r="137" spans="1:4" x14ac:dyDescent="0.25">
      <c r="A137" s="8"/>
      <c r="B137" s="13" t="s">
        <v>99</v>
      </c>
      <c r="C137" s="20"/>
      <c r="D137" s="23">
        <f t="shared" ref="D137:D142" si="2">$D$156*C137</f>
        <v>0</v>
      </c>
    </row>
    <row r="138" spans="1:4" x14ac:dyDescent="0.25">
      <c r="A138" s="8"/>
      <c r="B138" s="13" t="s">
        <v>100</v>
      </c>
      <c r="C138" s="20">
        <v>6.4999999999999997E-3</v>
      </c>
      <c r="D138" s="23">
        <f t="shared" si="2"/>
        <v>61.532446972413794</v>
      </c>
    </row>
    <row r="139" spans="1:4" x14ac:dyDescent="0.25">
      <c r="A139" s="8"/>
      <c r="B139" s="13" t="s">
        <v>101</v>
      </c>
      <c r="C139" s="20">
        <v>0.03</v>
      </c>
      <c r="D139" s="23">
        <f t="shared" si="2"/>
        <v>283.9959091034483</v>
      </c>
    </row>
    <row r="140" spans="1:4" x14ac:dyDescent="0.25">
      <c r="A140" s="8"/>
      <c r="B140" s="13" t="s">
        <v>102</v>
      </c>
      <c r="C140" s="65"/>
      <c r="D140" s="23">
        <f t="shared" si="2"/>
        <v>0</v>
      </c>
    </row>
    <row r="141" spans="1:4" x14ac:dyDescent="0.25">
      <c r="A141" s="8"/>
      <c r="B141" s="13" t="s">
        <v>103</v>
      </c>
      <c r="C141" s="20"/>
      <c r="D141" s="23">
        <f t="shared" si="2"/>
        <v>0</v>
      </c>
    </row>
    <row r="142" spans="1:4" x14ac:dyDescent="0.25">
      <c r="A142" s="8"/>
      <c r="B142" s="13" t="s">
        <v>104</v>
      </c>
      <c r="C142" s="20">
        <v>0.05</v>
      </c>
      <c r="D142" s="23">
        <f t="shared" si="2"/>
        <v>473.32651517241385</v>
      </c>
    </row>
    <row r="143" spans="1:4" ht="13.5" customHeight="1" x14ac:dyDescent="0.25">
      <c r="A143" s="116" t="s">
        <v>56</v>
      </c>
      <c r="B143" s="116"/>
      <c r="C143" s="29">
        <f>ROUND((1+C135)*(1+C134)/(1-C136)-1,4)</f>
        <v>0.21840000000000001</v>
      </c>
      <c r="D143" s="19">
        <f>SUM(D134:D136)</f>
        <v>1696.8309034482759</v>
      </c>
    </row>
    <row r="146" spans="1:4" x14ac:dyDescent="0.25">
      <c r="A146" s="105" t="s">
        <v>105</v>
      </c>
      <c r="B146" s="105"/>
      <c r="C146" s="105"/>
      <c r="D146" s="105"/>
    </row>
    <row r="148" spans="1:4" ht="12.75" customHeight="1" x14ac:dyDescent="0.25">
      <c r="A148" s="12"/>
      <c r="B148" s="110" t="s">
        <v>106</v>
      </c>
      <c r="C148" s="110"/>
      <c r="D148" s="12" t="s">
        <v>26</v>
      </c>
    </row>
    <row r="149" spans="1:4" ht="12.75" customHeight="1" x14ac:dyDescent="0.25">
      <c r="A149" s="12" t="s">
        <v>2</v>
      </c>
      <c r="B149" s="111" t="s">
        <v>24</v>
      </c>
      <c r="C149" s="111"/>
      <c r="D149" s="30">
        <f>D33</f>
        <v>4117.2719999999999</v>
      </c>
    </row>
    <row r="150" spans="1:4" ht="12.75" customHeight="1" x14ac:dyDescent="0.25">
      <c r="A150" s="12" t="s">
        <v>4</v>
      </c>
      <c r="B150" s="111" t="s">
        <v>36</v>
      </c>
      <c r="C150" s="111"/>
      <c r="D150" s="30">
        <f>D76</f>
        <v>3087.2174</v>
      </c>
    </row>
    <row r="151" spans="1:4" ht="12.75" customHeight="1" x14ac:dyDescent="0.25">
      <c r="A151" s="12" t="s">
        <v>6</v>
      </c>
      <c r="B151" s="111" t="s">
        <v>65</v>
      </c>
      <c r="C151" s="111"/>
      <c r="D151" s="30">
        <f>D88</f>
        <v>253.59</v>
      </c>
    </row>
    <row r="152" spans="1:4" ht="12.75" customHeight="1" x14ac:dyDescent="0.25">
      <c r="A152" s="12" t="s">
        <v>8</v>
      </c>
      <c r="B152" s="111" t="s">
        <v>73</v>
      </c>
      <c r="C152" s="111"/>
      <c r="D152" s="30">
        <f>D118</f>
        <v>144</v>
      </c>
    </row>
    <row r="153" spans="1:4" ht="12.75" customHeight="1" x14ac:dyDescent="0.25">
      <c r="A153" s="12" t="s">
        <v>31</v>
      </c>
      <c r="B153" s="111" t="s">
        <v>89</v>
      </c>
      <c r="C153" s="111"/>
      <c r="D153" s="30">
        <f>D128</f>
        <v>167.62</v>
      </c>
    </row>
    <row r="154" spans="1:4" ht="12.75" customHeight="1" x14ac:dyDescent="0.25">
      <c r="A154" s="110" t="s">
        <v>107</v>
      </c>
      <c r="B154" s="110"/>
      <c r="C154" s="110"/>
      <c r="D154" s="31">
        <f>SUM(D149:D153)</f>
        <v>7769.6994000000004</v>
      </c>
    </row>
    <row r="155" spans="1:4" ht="12.75" customHeight="1" x14ac:dyDescent="0.25">
      <c r="A155" s="12" t="s">
        <v>51</v>
      </c>
      <c r="B155" s="111" t="s">
        <v>108</v>
      </c>
      <c r="C155" s="111"/>
      <c r="D155" s="32">
        <f>D143</f>
        <v>1696.8309034482759</v>
      </c>
    </row>
    <row r="156" spans="1:4" ht="12.75" customHeight="1" x14ac:dyDescent="0.25">
      <c r="A156" s="110" t="s">
        <v>109</v>
      </c>
      <c r="B156" s="110"/>
      <c r="C156" s="110"/>
      <c r="D156" s="31">
        <f>SUM(D154:D155)</f>
        <v>9466.5303034482768</v>
      </c>
    </row>
  </sheetData>
  <mergeCells count="71">
    <mergeCell ref="A156:C156"/>
    <mergeCell ref="B151:C151"/>
    <mergeCell ref="B152:C152"/>
    <mergeCell ref="B153:C153"/>
    <mergeCell ref="A154:C154"/>
    <mergeCell ref="B155:C155"/>
    <mergeCell ref="A143:B143"/>
    <mergeCell ref="A146:D146"/>
    <mergeCell ref="B148:C148"/>
    <mergeCell ref="B149:C149"/>
    <mergeCell ref="B150:C150"/>
    <mergeCell ref="A118:C118"/>
    <mergeCell ref="A121:D121"/>
    <mergeCell ref="B123:C123"/>
    <mergeCell ref="A128:C128"/>
    <mergeCell ref="A131:D131"/>
    <mergeCell ref="A110:C110"/>
    <mergeCell ref="A113:D113"/>
    <mergeCell ref="B115:C115"/>
    <mergeCell ref="B116:C116"/>
    <mergeCell ref="B117:C117"/>
    <mergeCell ref="B96:C96"/>
    <mergeCell ref="A103:C103"/>
    <mergeCell ref="A106:D106"/>
    <mergeCell ref="B108:C108"/>
    <mergeCell ref="B109:C109"/>
    <mergeCell ref="A79:D79"/>
    <mergeCell ref="B81:C81"/>
    <mergeCell ref="A88:C88"/>
    <mergeCell ref="A91:D91"/>
    <mergeCell ref="A94:D94"/>
    <mergeCell ref="B72:C72"/>
    <mergeCell ref="B73:C73"/>
    <mergeCell ref="B74:C74"/>
    <mergeCell ref="B75:C75"/>
    <mergeCell ref="A76:C76"/>
    <mergeCell ref="B64:C64"/>
    <mergeCell ref="B65:C65"/>
    <mergeCell ref="B66:C66"/>
    <mergeCell ref="A67:C67"/>
    <mergeCell ref="A70:D70"/>
    <mergeCell ref="A46:D46"/>
    <mergeCell ref="A57:B57"/>
    <mergeCell ref="A60:D60"/>
    <mergeCell ref="B62:C62"/>
    <mergeCell ref="B63:C63"/>
    <mergeCell ref="A33:C33"/>
    <mergeCell ref="A36:D36"/>
    <mergeCell ref="A38:D38"/>
    <mergeCell ref="B40:C40"/>
    <mergeCell ref="A43:B43"/>
    <mergeCell ref="B28:C28"/>
    <mergeCell ref="B29:C29"/>
    <mergeCell ref="B30:C30"/>
    <mergeCell ref="B31:C31"/>
    <mergeCell ref="B32:C32"/>
    <mergeCell ref="C21:D21"/>
    <mergeCell ref="A23:D23"/>
    <mergeCell ref="B25:C25"/>
    <mergeCell ref="B26:C26"/>
    <mergeCell ref="B27:C27"/>
    <mergeCell ref="A15:D15"/>
    <mergeCell ref="C17:D17"/>
    <mergeCell ref="C18:D18"/>
    <mergeCell ref="C19:D19"/>
    <mergeCell ref="C20:D20"/>
    <mergeCell ref="A1:D1"/>
    <mergeCell ref="A3:D3"/>
    <mergeCell ref="A10:D10"/>
    <mergeCell ref="A12:B12"/>
    <mergeCell ref="A13:B13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L51"/>
  <sheetViews>
    <sheetView zoomScaleNormal="100" workbookViewId="0">
      <pane xSplit="1" topLeftCell="B1" activePane="topRight" state="frozen"/>
      <selection activeCell="K15" sqref="K15"/>
      <selection pane="topRight" activeCell="A45" sqref="A45"/>
    </sheetView>
  </sheetViews>
  <sheetFormatPr defaultColWidth="9.140625" defaultRowHeight="15" x14ac:dyDescent="0.25"/>
  <cols>
    <col min="1" max="1" width="27.85546875" style="33" bestFit="1" customWidth="1"/>
    <col min="2" max="29" width="10.7109375" style="33" customWidth="1"/>
    <col min="30" max="1024" width="9.140625" style="33"/>
  </cols>
  <sheetData>
    <row r="1" spans="1:1026" ht="18.75" x14ac:dyDescent="0.3">
      <c r="A1" s="86" t="s">
        <v>197</v>
      </c>
    </row>
    <row r="3" spans="1:1026" x14ac:dyDescent="0.25">
      <c r="A3" s="85" t="s">
        <v>199</v>
      </c>
      <c r="B3" s="34"/>
    </row>
    <row r="4" spans="1:1026" s="64" customFormat="1" ht="89.25" customHeight="1" x14ac:dyDescent="0.25">
      <c r="A4" s="62" t="s">
        <v>139</v>
      </c>
      <c r="B4" s="119" t="str">
        <f>engeletr!A13</f>
        <v>Engenheiro Eletricista (Supervisor)</v>
      </c>
      <c r="C4" s="120"/>
      <c r="D4" s="119" t="str">
        <f>encrefig!A13</f>
        <v>Encarregado - Refrigeração</v>
      </c>
      <c r="E4" s="120"/>
      <c r="F4" s="119" t="str">
        <f>enceletr!A13</f>
        <v xml:space="preserve">Encarregado - Elétrica </v>
      </c>
      <c r="G4" s="120"/>
      <c r="H4" s="119" t="str">
        <f>enccivil!A13</f>
        <v>Encarregado - Civil</v>
      </c>
      <c r="I4" s="120"/>
      <c r="J4" s="119" t="str">
        <f>tectele!A13</f>
        <v>Técnico em Redes e Telecomunicações</v>
      </c>
      <c r="K4" s="120"/>
      <c r="L4" s="119" t="str">
        <f>teceletro!A13</f>
        <v>Técnico em Eletromecânica</v>
      </c>
      <c r="M4" s="120"/>
      <c r="N4" s="119" t="str">
        <f>tecrefrig!A13</f>
        <v>Técnico em Refrigeração</v>
      </c>
      <c r="O4" s="120"/>
      <c r="P4" s="119" t="str">
        <f>eletric!A13</f>
        <v>Eletricista</v>
      </c>
      <c r="Q4" s="120"/>
      <c r="R4" s="119" t="str">
        <f>ajmontD!A13</f>
        <v>Ajudante de Montagem e Manutenção (Servente Prático) - diurno</v>
      </c>
      <c r="S4" s="120"/>
      <c r="T4" s="119" t="str">
        <f>ajmontN!A13</f>
        <v>Ajudante de Montagem e Manutenção (Servente Prático) - noturno</v>
      </c>
      <c r="U4" s="120"/>
      <c r="V4" s="119" t="str">
        <f>auxcivil!A13</f>
        <v xml:space="preserve">Auxiliar Técnico – Civil (pequenas obras e adequações prediais) </v>
      </c>
      <c r="W4" s="120"/>
      <c r="X4" s="119" t="str">
        <f>pintorN!A13</f>
        <v>Pintor Industrial (Estruturas Metálicas) - noturno</v>
      </c>
      <c r="Y4" s="120"/>
      <c r="Z4" s="119" t="str">
        <f>auxtelha!A13</f>
        <v>Auxiliar Técnico – Telhadista</v>
      </c>
      <c r="AA4" s="120"/>
      <c r="AB4" s="119" t="str">
        <f>tecseg!A13</f>
        <v xml:space="preserve">Técnico de Segurança no Trabalho Pleno </v>
      </c>
      <c r="AC4" s="120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63"/>
      <c r="AW4" s="63"/>
      <c r="AX4" s="63"/>
      <c r="AY4" s="63"/>
      <c r="AZ4" s="63"/>
      <c r="BA4" s="63"/>
      <c r="BB4" s="63"/>
      <c r="BC4" s="63"/>
      <c r="BD4" s="63"/>
      <c r="BE4" s="63"/>
      <c r="BF4" s="63"/>
      <c r="BG4" s="63"/>
      <c r="BH4" s="63"/>
      <c r="BI4" s="63"/>
      <c r="BJ4" s="63"/>
      <c r="BK4" s="63"/>
      <c r="BL4" s="63"/>
      <c r="BM4" s="63"/>
      <c r="BN4" s="63"/>
      <c r="BO4" s="63"/>
      <c r="BP4" s="63"/>
      <c r="BQ4" s="63"/>
      <c r="BR4" s="63"/>
      <c r="BS4" s="63"/>
      <c r="BT4" s="63"/>
      <c r="BU4" s="63"/>
      <c r="BV4" s="63"/>
      <c r="BW4" s="63"/>
      <c r="BX4" s="63"/>
      <c r="BY4" s="63"/>
      <c r="BZ4" s="63"/>
      <c r="CA4" s="63"/>
      <c r="CB4" s="63"/>
      <c r="CC4" s="63"/>
      <c r="CD4" s="63"/>
      <c r="CE4" s="63"/>
      <c r="CF4" s="63"/>
      <c r="CG4" s="63"/>
      <c r="CH4" s="63"/>
      <c r="CI4" s="63"/>
      <c r="CJ4" s="63"/>
      <c r="CK4" s="63"/>
      <c r="CL4" s="63"/>
      <c r="CM4" s="63"/>
      <c r="CN4" s="63"/>
      <c r="CO4" s="63"/>
      <c r="CP4" s="63"/>
      <c r="CQ4" s="63"/>
      <c r="CR4" s="63"/>
      <c r="CS4" s="63"/>
      <c r="CT4" s="63"/>
      <c r="CU4" s="63"/>
      <c r="CV4" s="63"/>
      <c r="CW4" s="63"/>
      <c r="CX4" s="63"/>
      <c r="CY4" s="63"/>
      <c r="CZ4" s="63"/>
      <c r="DA4" s="63"/>
      <c r="DB4" s="63"/>
      <c r="DC4" s="63"/>
      <c r="DD4" s="63"/>
      <c r="DE4" s="63"/>
      <c r="DF4" s="63"/>
      <c r="DG4" s="63"/>
      <c r="DH4" s="63"/>
      <c r="DI4" s="63"/>
      <c r="DJ4" s="63"/>
      <c r="DK4" s="63"/>
      <c r="DL4" s="63"/>
      <c r="DM4" s="63"/>
      <c r="DN4" s="63"/>
      <c r="DO4" s="63"/>
      <c r="DP4" s="63"/>
      <c r="DQ4" s="63"/>
      <c r="DR4" s="63"/>
      <c r="DS4" s="63"/>
      <c r="DT4" s="63"/>
      <c r="DU4" s="63"/>
      <c r="DV4" s="63"/>
      <c r="DW4" s="63"/>
      <c r="DX4" s="63"/>
      <c r="DY4" s="63"/>
      <c r="DZ4" s="63"/>
      <c r="EA4" s="63"/>
      <c r="EB4" s="63"/>
      <c r="EC4" s="63"/>
      <c r="ED4" s="63"/>
      <c r="EE4" s="63"/>
      <c r="EF4" s="63"/>
      <c r="EG4" s="63"/>
      <c r="EH4" s="63"/>
      <c r="EI4" s="63"/>
      <c r="EJ4" s="63"/>
      <c r="EK4" s="63"/>
      <c r="EL4" s="63"/>
      <c r="EM4" s="63"/>
      <c r="EN4" s="63"/>
      <c r="EO4" s="63"/>
      <c r="EP4" s="63"/>
      <c r="EQ4" s="63"/>
      <c r="ER4" s="63"/>
      <c r="ES4" s="63"/>
      <c r="ET4" s="63"/>
      <c r="EU4" s="63"/>
      <c r="EV4" s="63"/>
      <c r="EW4" s="63"/>
      <c r="EX4" s="63"/>
      <c r="EY4" s="63"/>
      <c r="EZ4" s="63"/>
      <c r="FA4" s="63"/>
      <c r="FB4" s="63"/>
      <c r="FC4" s="63"/>
      <c r="FD4" s="63"/>
      <c r="FE4" s="63"/>
      <c r="FF4" s="63"/>
      <c r="FG4" s="63"/>
      <c r="FH4" s="63"/>
      <c r="FI4" s="63"/>
      <c r="FJ4" s="63"/>
      <c r="FK4" s="63"/>
      <c r="FL4" s="63"/>
      <c r="FM4" s="63"/>
      <c r="FN4" s="63"/>
      <c r="FO4" s="63"/>
      <c r="FP4" s="63"/>
      <c r="FQ4" s="63"/>
      <c r="FR4" s="63"/>
      <c r="FS4" s="63"/>
      <c r="FT4" s="63"/>
      <c r="FU4" s="63"/>
      <c r="FV4" s="63"/>
      <c r="FW4" s="63"/>
      <c r="FX4" s="63"/>
      <c r="FY4" s="63"/>
      <c r="FZ4" s="63"/>
      <c r="GA4" s="63"/>
      <c r="GB4" s="63"/>
      <c r="GC4" s="63"/>
      <c r="GD4" s="63"/>
      <c r="GE4" s="63"/>
      <c r="GF4" s="63"/>
      <c r="GG4" s="63"/>
      <c r="GH4" s="63"/>
      <c r="GI4" s="63"/>
      <c r="GJ4" s="63"/>
      <c r="GK4" s="63"/>
      <c r="GL4" s="63"/>
      <c r="GM4" s="63"/>
      <c r="GN4" s="63"/>
      <c r="GO4" s="63"/>
      <c r="GP4" s="63"/>
      <c r="GQ4" s="63"/>
      <c r="GR4" s="63"/>
      <c r="GS4" s="63"/>
      <c r="GT4" s="63"/>
      <c r="GU4" s="63"/>
      <c r="GV4" s="63"/>
      <c r="GW4" s="63"/>
      <c r="GX4" s="63"/>
      <c r="GY4" s="63"/>
      <c r="GZ4" s="63"/>
      <c r="HA4" s="63"/>
      <c r="HB4" s="63"/>
      <c r="HC4" s="63"/>
      <c r="HD4" s="63"/>
      <c r="HE4" s="63"/>
      <c r="HF4" s="63"/>
      <c r="HG4" s="63"/>
      <c r="HH4" s="63"/>
      <c r="HI4" s="63"/>
      <c r="HJ4" s="63"/>
      <c r="HK4" s="63"/>
      <c r="HL4" s="63"/>
      <c r="HM4" s="63"/>
      <c r="HN4" s="63"/>
      <c r="HO4" s="63"/>
      <c r="HP4" s="63"/>
      <c r="HQ4" s="63"/>
      <c r="HR4" s="63"/>
      <c r="HS4" s="63"/>
      <c r="HT4" s="63"/>
      <c r="HU4" s="63"/>
      <c r="HV4" s="63"/>
      <c r="HW4" s="63"/>
      <c r="HX4" s="63"/>
      <c r="HY4" s="63"/>
      <c r="HZ4" s="63"/>
      <c r="IA4" s="63"/>
      <c r="IB4" s="63"/>
      <c r="IC4" s="63"/>
      <c r="ID4" s="63"/>
      <c r="IE4" s="63"/>
      <c r="IF4" s="63"/>
      <c r="IG4" s="63"/>
      <c r="IH4" s="63"/>
      <c r="II4" s="63"/>
      <c r="IJ4" s="63"/>
      <c r="IK4" s="63"/>
      <c r="IL4" s="63"/>
      <c r="IM4" s="63"/>
      <c r="IN4" s="63"/>
      <c r="IO4" s="63"/>
      <c r="IP4" s="63"/>
      <c r="IQ4" s="63"/>
      <c r="IR4" s="63"/>
      <c r="IS4" s="63"/>
      <c r="IT4" s="63"/>
      <c r="IU4" s="63"/>
      <c r="IV4" s="63"/>
      <c r="IW4" s="63"/>
      <c r="IX4" s="63"/>
      <c r="IY4" s="63"/>
      <c r="IZ4" s="63"/>
      <c r="JA4" s="63"/>
      <c r="JB4" s="63"/>
      <c r="JC4" s="63"/>
      <c r="JD4" s="63"/>
      <c r="JE4" s="63"/>
      <c r="JF4" s="63"/>
      <c r="JG4" s="63"/>
      <c r="JH4" s="63"/>
      <c r="JI4" s="63"/>
      <c r="JJ4" s="63"/>
      <c r="JK4" s="63"/>
      <c r="JL4" s="63"/>
      <c r="JM4" s="63"/>
      <c r="JN4" s="63"/>
      <c r="JO4" s="63"/>
      <c r="JP4" s="63"/>
      <c r="JQ4" s="63"/>
      <c r="JR4" s="63"/>
      <c r="JS4" s="63"/>
      <c r="JT4" s="63"/>
      <c r="JU4" s="63"/>
      <c r="JV4" s="63"/>
      <c r="JW4" s="63"/>
      <c r="JX4" s="63"/>
      <c r="JY4" s="63"/>
      <c r="JZ4" s="63"/>
      <c r="KA4" s="63"/>
      <c r="KB4" s="63"/>
      <c r="KC4" s="63"/>
      <c r="KD4" s="63"/>
      <c r="KE4" s="63"/>
      <c r="KF4" s="63"/>
      <c r="KG4" s="63"/>
      <c r="KH4" s="63"/>
      <c r="KI4" s="63"/>
      <c r="KJ4" s="63"/>
      <c r="KK4" s="63"/>
      <c r="KL4" s="63"/>
      <c r="KM4" s="63"/>
      <c r="KN4" s="63"/>
      <c r="KO4" s="63"/>
      <c r="KP4" s="63"/>
      <c r="KQ4" s="63"/>
      <c r="KR4" s="63"/>
      <c r="KS4" s="63"/>
      <c r="KT4" s="63"/>
      <c r="KU4" s="63"/>
      <c r="KV4" s="63"/>
      <c r="KW4" s="63"/>
      <c r="KX4" s="63"/>
      <c r="KY4" s="63"/>
      <c r="KZ4" s="63"/>
      <c r="LA4" s="63"/>
      <c r="LB4" s="63"/>
      <c r="LC4" s="63"/>
      <c r="LD4" s="63"/>
      <c r="LE4" s="63"/>
      <c r="LF4" s="63"/>
      <c r="LG4" s="63"/>
      <c r="LH4" s="63"/>
      <c r="LI4" s="63"/>
      <c r="LJ4" s="63"/>
      <c r="LK4" s="63"/>
      <c r="LL4" s="63"/>
      <c r="LM4" s="63"/>
      <c r="LN4" s="63"/>
      <c r="LO4" s="63"/>
      <c r="LP4" s="63"/>
      <c r="LQ4" s="63"/>
      <c r="LR4" s="63"/>
      <c r="LS4" s="63"/>
      <c r="LT4" s="63"/>
      <c r="LU4" s="63"/>
      <c r="LV4" s="63"/>
      <c r="LW4" s="63"/>
      <c r="LX4" s="63"/>
      <c r="LY4" s="63"/>
      <c r="LZ4" s="63"/>
      <c r="MA4" s="63"/>
      <c r="MB4" s="63"/>
      <c r="MC4" s="63"/>
      <c r="MD4" s="63"/>
      <c r="ME4" s="63"/>
      <c r="MF4" s="63"/>
      <c r="MG4" s="63"/>
      <c r="MH4" s="63"/>
      <c r="MI4" s="63"/>
      <c r="MJ4" s="63"/>
      <c r="MK4" s="63"/>
      <c r="ML4" s="63"/>
      <c r="MM4" s="63"/>
      <c r="MN4" s="63"/>
      <c r="MO4" s="63"/>
      <c r="MP4" s="63"/>
      <c r="MQ4" s="63"/>
      <c r="MR4" s="63"/>
      <c r="MS4" s="63"/>
      <c r="MT4" s="63"/>
      <c r="MU4" s="63"/>
      <c r="MV4" s="63"/>
      <c r="MW4" s="63"/>
      <c r="MX4" s="63"/>
      <c r="MY4" s="63"/>
      <c r="MZ4" s="63"/>
      <c r="NA4" s="63"/>
      <c r="NB4" s="63"/>
      <c r="NC4" s="63"/>
      <c r="ND4" s="63"/>
      <c r="NE4" s="63"/>
      <c r="NF4" s="63"/>
      <c r="NG4" s="63"/>
      <c r="NH4" s="63"/>
      <c r="NI4" s="63"/>
      <c r="NJ4" s="63"/>
      <c r="NK4" s="63"/>
      <c r="NL4" s="63"/>
      <c r="NM4" s="63"/>
      <c r="NN4" s="63"/>
      <c r="NO4" s="63"/>
      <c r="NP4" s="63"/>
      <c r="NQ4" s="63"/>
      <c r="NR4" s="63"/>
      <c r="NS4" s="63"/>
      <c r="NT4" s="63"/>
      <c r="NU4" s="63"/>
      <c r="NV4" s="63"/>
      <c r="NW4" s="63"/>
      <c r="NX4" s="63"/>
      <c r="NY4" s="63"/>
      <c r="NZ4" s="63"/>
      <c r="OA4" s="63"/>
      <c r="OB4" s="63"/>
      <c r="OC4" s="63"/>
      <c r="OD4" s="63"/>
      <c r="OE4" s="63"/>
      <c r="OF4" s="63"/>
      <c r="OG4" s="63"/>
      <c r="OH4" s="63"/>
      <c r="OI4" s="63"/>
      <c r="OJ4" s="63"/>
      <c r="OK4" s="63"/>
      <c r="OL4" s="63"/>
      <c r="OM4" s="63"/>
      <c r="ON4" s="63"/>
      <c r="OO4" s="63"/>
      <c r="OP4" s="63"/>
      <c r="OQ4" s="63"/>
      <c r="OR4" s="63"/>
      <c r="OS4" s="63"/>
      <c r="OT4" s="63"/>
      <c r="OU4" s="63"/>
      <c r="OV4" s="63"/>
      <c r="OW4" s="63"/>
      <c r="OX4" s="63"/>
      <c r="OY4" s="63"/>
      <c r="OZ4" s="63"/>
      <c r="PA4" s="63"/>
      <c r="PB4" s="63"/>
      <c r="PC4" s="63"/>
      <c r="PD4" s="63"/>
      <c r="PE4" s="63"/>
      <c r="PF4" s="63"/>
      <c r="PG4" s="63"/>
      <c r="PH4" s="63"/>
      <c r="PI4" s="63"/>
      <c r="PJ4" s="63"/>
      <c r="PK4" s="63"/>
      <c r="PL4" s="63"/>
      <c r="PM4" s="63"/>
      <c r="PN4" s="63"/>
      <c r="PO4" s="63"/>
      <c r="PP4" s="63"/>
      <c r="PQ4" s="63"/>
      <c r="PR4" s="63"/>
      <c r="PS4" s="63"/>
      <c r="PT4" s="63"/>
      <c r="PU4" s="63"/>
      <c r="PV4" s="63"/>
      <c r="PW4" s="63"/>
      <c r="PX4" s="63"/>
      <c r="PY4" s="63"/>
      <c r="PZ4" s="63"/>
      <c r="QA4" s="63"/>
      <c r="QB4" s="63"/>
      <c r="QC4" s="63"/>
      <c r="QD4" s="63"/>
      <c r="QE4" s="63"/>
      <c r="QF4" s="63"/>
      <c r="QG4" s="63"/>
      <c r="QH4" s="63"/>
      <c r="QI4" s="63"/>
      <c r="QJ4" s="63"/>
      <c r="QK4" s="63"/>
      <c r="QL4" s="63"/>
      <c r="QM4" s="63"/>
      <c r="QN4" s="63"/>
      <c r="QO4" s="63"/>
      <c r="QP4" s="63"/>
      <c r="QQ4" s="63"/>
      <c r="QR4" s="63"/>
      <c r="QS4" s="63"/>
      <c r="QT4" s="63"/>
      <c r="QU4" s="63"/>
      <c r="QV4" s="63"/>
      <c r="QW4" s="63"/>
      <c r="QX4" s="63"/>
      <c r="QY4" s="63"/>
      <c r="QZ4" s="63"/>
      <c r="RA4" s="63"/>
      <c r="RB4" s="63"/>
      <c r="RC4" s="63"/>
      <c r="RD4" s="63"/>
      <c r="RE4" s="63"/>
      <c r="RF4" s="63"/>
      <c r="RG4" s="63"/>
      <c r="RH4" s="63"/>
      <c r="RI4" s="63"/>
      <c r="RJ4" s="63"/>
      <c r="RK4" s="63"/>
      <c r="RL4" s="63"/>
      <c r="RM4" s="63"/>
      <c r="RN4" s="63"/>
      <c r="RO4" s="63"/>
      <c r="RP4" s="63"/>
      <c r="RQ4" s="63"/>
      <c r="RR4" s="63"/>
      <c r="RS4" s="63"/>
      <c r="RT4" s="63"/>
      <c r="RU4" s="63"/>
      <c r="RV4" s="63"/>
      <c r="RW4" s="63"/>
      <c r="RX4" s="63"/>
      <c r="RY4" s="63"/>
      <c r="RZ4" s="63"/>
      <c r="SA4" s="63"/>
      <c r="SB4" s="63"/>
      <c r="SC4" s="63"/>
      <c r="SD4" s="63"/>
      <c r="SE4" s="63"/>
      <c r="SF4" s="63"/>
      <c r="SG4" s="63"/>
      <c r="SH4" s="63"/>
      <c r="SI4" s="63"/>
      <c r="SJ4" s="63"/>
      <c r="SK4" s="63"/>
      <c r="SL4" s="63"/>
      <c r="SM4" s="63"/>
      <c r="SN4" s="63"/>
      <c r="SO4" s="63"/>
      <c r="SP4" s="63"/>
      <c r="SQ4" s="63"/>
      <c r="SR4" s="63"/>
      <c r="SS4" s="63"/>
      <c r="ST4" s="63"/>
      <c r="SU4" s="63"/>
      <c r="SV4" s="63"/>
      <c r="SW4" s="63"/>
      <c r="SX4" s="63"/>
      <c r="SY4" s="63"/>
      <c r="SZ4" s="63"/>
      <c r="TA4" s="63"/>
      <c r="TB4" s="63"/>
      <c r="TC4" s="63"/>
      <c r="TD4" s="63"/>
      <c r="TE4" s="63"/>
      <c r="TF4" s="63"/>
      <c r="TG4" s="63"/>
      <c r="TH4" s="63"/>
      <c r="TI4" s="63"/>
      <c r="TJ4" s="63"/>
      <c r="TK4" s="63"/>
      <c r="TL4" s="63"/>
      <c r="TM4" s="63"/>
      <c r="TN4" s="63"/>
      <c r="TO4" s="63"/>
      <c r="TP4" s="63"/>
      <c r="TQ4" s="63"/>
      <c r="TR4" s="63"/>
      <c r="TS4" s="63"/>
      <c r="TT4" s="63"/>
      <c r="TU4" s="63"/>
      <c r="TV4" s="63"/>
      <c r="TW4" s="63"/>
      <c r="TX4" s="63"/>
      <c r="TY4" s="63"/>
      <c r="TZ4" s="63"/>
      <c r="UA4" s="63"/>
      <c r="UB4" s="63"/>
      <c r="UC4" s="63"/>
      <c r="UD4" s="63"/>
      <c r="UE4" s="63"/>
      <c r="UF4" s="63"/>
      <c r="UG4" s="63"/>
      <c r="UH4" s="63"/>
      <c r="UI4" s="63"/>
      <c r="UJ4" s="63"/>
      <c r="UK4" s="63"/>
      <c r="UL4" s="63"/>
      <c r="UM4" s="63"/>
      <c r="UN4" s="63"/>
      <c r="UO4" s="63"/>
      <c r="UP4" s="63"/>
      <c r="UQ4" s="63"/>
      <c r="UR4" s="63"/>
      <c r="US4" s="63"/>
      <c r="UT4" s="63"/>
      <c r="UU4" s="63"/>
      <c r="UV4" s="63"/>
      <c r="UW4" s="63"/>
      <c r="UX4" s="63"/>
      <c r="UY4" s="63"/>
      <c r="UZ4" s="63"/>
      <c r="VA4" s="63"/>
      <c r="VB4" s="63"/>
      <c r="VC4" s="63"/>
      <c r="VD4" s="63"/>
      <c r="VE4" s="63"/>
      <c r="VF4" s="63"/>
      <c r="VG4" s="63"/>
      <c r="VH4" s="63"/>
      <c r="VI4" s="63"/>
      <c r="VJ4" s="63"/>
      <c r="VK4" s="63"/>
      <c r="VL4" s="63"/>
      <c r="VM4" s="63"/>
      <c r="VN4" s="63"/>
      <c r="VO4" s="63"/>
      <c r="VP4" s="63"/>
      <c r="VQ4" s="63"/>
      <c r="VR4" s="63"/>
      <c r="VS4" s="63"/>
      <c r="VT4" s="63"/>
      <c r="VU4" s="63"/>
      <c r="VV4" s="63"/>
      <c r="VW4" s="63"/>
      <c r="VX4" s="63"/>
      <c r="VY4" s="63"/>
      <c r="VZ4" s="63"/>
      <c r="WA4" s="63"/>
      <c r="WB4" s="63"/>
      <c r="WC4" s="63"/>
      <c r="WD4" s="63"/>
      <c r="WE4" s="63"/>
      <c r="WF4" s="63"/>
      <c r="WG4" s="63"/>
      <c r="WH4" s="63"/>
      <c r="WI4" s="63"/>
      <c r="WJ4" s="63"/>
      <c r="WK4" s="63"/>
      <c r="WL4" s="63"/>
      <c r="WM4" s="63"/>
      <c r="WN4" s="63"/>
      <c r="WO4" s="63"/>
      <c r="WP4" s="63"/>
      <c r="WQ4" s="63"/>
      <c r="WR4" s="63"/>
      <c r="WS4" s="63"/>
      <c r="WT4" s="63"/>
      <c r="WU4" s="63"/>
      <c r="WV4" s="63"/>
      <c r="WW4" s="63"/>
      <c r="WX4" s="63"/>
      <c r="WY4" s="63"/>
      <c r="WZ4" s="63"/>
      <c r="XA4" s="63"/>
      <c r="XB4" s="63"/>
      <c r="XC4" s="63"/>
      <c r="XD4" s="63"/>
      <c r="XE4" s="63"/>
      <c r="XF4" s="63"/>
      <c r="XG4" s="63"/>
      <c r="XH4" s="63"/>
      <c r="XI4" s="63"/>
      <c r="XJ4" s="63"/>
      <c r="XK4" s="63"/>
      <c r="XL4" s="63"/>
      <c r="XM4" s="63"/>
      <c r="XN4" s="63"/>
      <c r="XO4" s="63"/>
      <c r="XP4" s="63"/>
      <c r="XQ4" s="63"/>
      <c r="XR4" s="63"/>
      <c r="XS4" s="63"/>
      <c r="XT4" s="63"/>
      <c r="XU4" s="63"/>
      <c r="XV4" s="63"/>
      <c r="XW4" s="63"/>
      <c r="XX4" s="63"/>
      <c r="XY4" s="63"/>
      <c r="XZ4" s="63"/>
      <c r="YA4" s="63"/>
      <c r="YB4" s="63"/>
      <c r="YC4" s="63"/>
      <c r="YD4" s="63"/>
      <c r="YE4" s="63"/>
      <c r="YF4" s="63"/>
      <c r="YG4" s="63"/>
      <c r="YH4" s="63"/>
      <c r="YI4" s="63"/>
      <c r="YJ4" s="63"/>
      <c r="YK4" s="63"/>
      <c r="YL4" s="63"/>
      <c r="YM4" s="63"/>
      <c r="YN4" s="63"/>
      <c r="YO4" s="63"/>
      <c r="YP4" s="63"/>
      <c r="YQ4" s="63"/>
      <c r="YR4" s="63"/>
      <c r="YS4" s="63"/>
      <c r="YT4" s="63"/>
      <c r="YU4" s="63"/>
      <c r="YV4" s="63"/>
      <c r="YW4" s="63"/>
      <c r="YX4" s="63"/>
      <c r="YY4" s="63"/>
      <c r="YZ4" s="63"/>
      <c r="ZA4" s="63"/>
      <c r="ZB4" s="63"/>
      <c r="ZC4" s="63"/>
      <c r="ZD4" s="63"/>
      <c r="ZE4" s="63"/>
      <c r="ZF4" s="63"/>
      <c r="ZG4" s="63"/>
      <c r="ZH4" s="63"/>
      <c r="ZI4" s="63"/>
      <c r="ZJ4" s="63"/>
      <c r="ZK4" s="63"/>
      <c r="ZL4" s="63"/>
      <c r="ZM4" s="63"/>
      <c r="ZN4" s="63"/>
      <c r="ZO4" s="63"/>
      <c r="ZP4" s="63"/>
      <c r="ZQ4" s="63"/>
      <c r="ZR4" s="63"/>
      <c r="ZS4" s="63"/>
      <c r="ZT4" s="63"/>
      <c r="ZU4" s="63"/>
      <c r="ZV4" s="63"/>
      <c r="ZW4" s="63"/>
      <c r="ZX4" s="63"/>
      <c r="ZY4" s="63"/>
      <c r="ZZ4" s="63"/>
      <c r="AAA4" s="63"/>
      <c r="AAB4" s="63"/>
      <c r="AAC4" s="63"/>
      <c r="AAD4" s="63"/>
      <c r="AAE4" s="63"/>
      <c r="AAF4" s="63"/>
      <c r="AAG4" s="63"/>
      <c r="AAH4" s="63"/>
      <c r="AAI4" s="63"/>
      <c r="AAJ4" s="63"/>
      <c r="AAK4" s="63"/>
      <c r="AAL4" s="63"/>
      <c r="AAM4" s="63"/>
      <c r="AAN4" s="63"/>
      <c r="AAO4" s="63"/>
      <c r="AAP4" s="63"/>
      <c r="AAQ4" s="63"/>
      <c r="AAR4" s="63"/>
      <c r="AAS4" s="63"/>
      <c r="AAT4" s="63"/>
      <c r="AAU4" s="63"/>
      <c r="AAV4" s="63"/>
      <c r="AAW4" s="63"/>
      <c r="AAX4" s="63"/>
      <c r="AAY4" s="63"/>
      <c r="AAZ4" s="63"/>
      <c r="ABA4" s="63"/>
      <c r="ABB4" s="63"/>
      <c r="ABC4" s="63"/>
      <c r="ABD4" s="63"/>
      <c r="ABE4" s="63"/>
      <c r="ABF4" s="63"/>
      <c r="ABG4" s="63"/>
      <c r="ABH4" s="63"/>
      <c r="ABI4" s="63"/>
      <c r="ABJ4" s="63"/>
      <c r="ABK4" s="63"/>
      <c r="ABL4" s="63"/>
      <c r="ABM4" s="63"/>
      <c r="ABN4" s="63"/>
      <c r="ABO4" s="63"/>
      <c r="ABP4" s="63"/>
      <c r="ABQ4" s="63"/>
      <c r="ABR4" s="63"/>
      <c r="ABS4" s="63"/>
      <c r="ABT4" s="63"/>
      <c r="ABU4" s="63"/>
      <c r="ABV4" s="63"/>
      <c r="ABW4" s="63"/>
      <c r="ABX4" s="63"/>
      <c r="ABY4" s="63"/>
      <c r="ABZ4" s="63"/>
      <c r="ACA4" s="63"/>
      <c r="ACB4" s="63"/>
      <c r="ACC4" s="63"/>
      <c r="ACD4" s="63"/>
      <c r="ACE4" s="63"/>
      <c r="ACF4" s="63"/>
      <c r="ACG4" s="63"/>
      <c r="ACH4" s="63"/>
      <c r="ACI4" s="63"/>
      <c r="ACJ4" s="63"/>
      <c r="ACK4" s="63"/>
      <c r="ACL4" s="63"/>
      <c r="ACM4" s="63"/>
      <c r="ACN4" s="63"/>
      <c r="ACO4" s="63"/>
      <c r="ACP4" s="63"/>
      <c r="ACQ4" s="63"/>
      <c r="ACR4" s="63"/>
      <c r="ACS4" s="63"/>
      <c r="ACT4" s="63"/>
      <c r="ACU4" s="63"/>
      <c r="ACV4" s="63"/>
      <c r="ACW4" s="63"/>
      <c r="ACX4" s="63"/>
      <c r="ACY4" s="63"/>
      <c r="ACZ4" s="63"/>
      <c r="ADA4" s="63"/>
      <c r="ADB4" s="63"/>
      <c r="ADC4" s="63"/>
      <c r="ADD4" s="63"/>
      <c r="ADE4" s="63"/>
      <c r="ADF4" s="63"/>
      <c r="ADG4" s="63"/>
      <c r="ADH4" s="63"/>
      <c r="ADI4" s="63"/>
      <c r="ADJ4" s="63"/>
      <c r="ADK4" s="63"/>
      <c r="ADL4" s="63"/>
      <c r="ADM4" s="63"/>
      <c r="ADN4" s="63"/>
      <c r="ADO4" s="63"/>
      <c r="ADP4" s="63"/>
      <c r="ADQ4" s="63"/>
      <c r="ADR4" s="63"/>
      <c r="ADS4" s="63"/>
      <c r="ADT4" s="63"/>
      <c r="ADU4" s="63"/>
      <c r="ADV4" s="63"/>
      <c r="ADW4" s="63"/>
      <c r="ADX4" s="63"/>
      <c r="ADY4" s="63"/>
      <c r="ADZ4" s="63"/>
      <c r="AEA4" s="63"/>
      <c r="AEB4" s="63"/>
      <c r="AEC4" s="63"/>
      <c r="AED4" s="63"/>
      <c r="AEE4" s="63"/>
      <c r="AEF4" s="63"/>
      <c r="AEG4" s="63"/>
      <c r="AEH4" s="63"/>
      <c r="AEI4" s="63"/>
      <c r="AEJ4" s="63"/>
      <c r="AEK4" s="63"/>
      <c r="AEL4" s="63"/>
      <c r="AEM4" s="63"/>
      <c r="AEN4" s="63"/>
      <c r="AEO4" s="63"/>
      <c r="AEP4" s="63"/>
      <c r="AEQ4" s="63"/>
      <c r="AER4" s="63"/>
      <c r="AES4" s="63"/>
      <c r="AET4" s="63"/>
      <c r="AEU4" s="63"/>
      <c r="AEV4" s="63"/>
      <c r="AEW4" s="63"/>
      <c r="AEX4" s="63"/>
      <c r="AEY4" s="63"/>
      <c r="AEZ4" s="63"/>
      <c r="AFA4" s="63"/>
      <c r="AFB4" s="63"/>
      <c r="AFC4" s="63"/>
      <c r="AFD4" s="63"/>
      <c r="AFE4" s="63"/>
      <c r="AFF4" s="63"/>
      <c r="AFG4" s="63"/>
      <c r="AFH4" s="63"/>
      <c r="AFI4" s="63"/>
      <c r="AFJ4" s="63"/>
      <c r="AFK4" s="63"/>
      <c r="AFL4" s="63"/>
      <c r="AFM4" s="63"/>
      <c r="AFN4" s="63"/>
      <c r="AFO4" s="63"/>
      <c r="AFP4" s="63"/>
      <c r="AFQ4" s="63"/>
      <c r="AFR4" s="63"/>
      <c r="AFS4" s="63"/>
      <c r="AFT4" s="63"/>
      <c r="AFU4" s="63"/>
      <c r="AFV4" s="63"/>
      <c r="AFW4" s="63"/>
      <c r="AFX4" s="63"/>
      <c r="AFY4" s="63"/>
      <c r="AFZ4" s="63"/>
      <c r="AGA4" s="63"/>
      <c r="AGB4" s="63"/>
      <c r="AGC4" s="63"/>
      <c r="AGD4" s="63"/>
      <c r="AGE4" s="63"/>
      <c r="AGF4" s="63"/>
      <c r="AGG4" s="63"/>
      <c r="AGH4" s="63"/>
      <c r="AGI4" s="63"/>
      <c r="AGJ4" s="63"/>
      <c r="AGK4" s="63"/>
      <c r="AGL4" s="63"/>
      <c r="AGM4" s="63"/>
      <c r="AGN4" s="63"/>
      <c r="AGO4" s="63"/>
      <c r="AGP4" s="63"/>
      <c r="AGQ4" s="63"/>
      <c r="AGR4" s="63"/>
      <c r="AGS4" s="63"/>
      <c r="AGT4" s="63"/>
      <c r="AGU4" s="63"/>
      <c r="AGV4" s="63"/>
      <c r="AGW4" s="63"/>
      <c r="AGX4" s="63"/>
      <c r="AGY4" s="63"/>
      <c r="AGZ4" s="63"/>
      <c r="AHA4" s="63"/>
      <c r="AHB4" s="63"/>
      <c r="AHC4" s="63"/>
      <c r="AHD4" s="63"/>
      <c r="AHE4" s="63"/>
      <c r="AHF4" s="63"/>
      <c r="AHG4" s="63"/>
      <c r="AHH4" s="63"/>
      <c r="AHI4" s="63"/>
      <c r="AHJ4" s="63"/>
      <c r="AHK4" s="63"/>
      <c r="AHL4" s="63"/>
      <c r="AHM4" s="63"/>
      <c r="AHN4" s="63"/>
      <c r="AHO4" s="63"/>
      <c r="AHP4" s="63"/>
      <c r="AHQ4" s="63"/>
      <c r="AHR4" s="63"/>
      <c r="AHS4" s="63"/>
      <c r="AHT4" s="63"/>
      <c r="AHU4" s="63"/>
      <c r="AHV4" s="63"/>
      <c r="AHW4" s="63"/>
      <c r="AHX4" s="63"/>
      <c r="AHY4" s="63"/>
      <c r="AHZ4" s="63"/>
      <c r="AIA4" s="63"/>
      <c r="AIB4" s="63"/>
      <c r="AIC4" s="63"/>
      <c r="AID4" s="63"/>
      <c r="AIE4" s="63"/>
      <c r="AIF4" s="63"/>
      <c r="AIG4" s="63"/>
      <c r="AIH4" s="63"/>
      <c r="AII4" s="63"/>
      <c r="AIJ4" s="63"/>
      <c r="AIK4" s="63"/>
      <c r="AIL4" s="63"/>
      <c r="AIM4" s="63"/>
      <c r="AIN4" s="63"/>
      <c r="AIO4" s="63"/>
      <c r="AIP4" s="63"/>
      <c r="AIQ4" s="63"/>
      <c r="AIR4" s="63"/>
      <c r="AIS4" s="63"/>
      <c r="AIT4" s="63"/>
      <c r="AIU4" s="63"/>
      <c r="AIV4" s="63"/>
      <c r="AIW4" s="63"/>
      <c r="AIX4" s="63"/>
      <c r="AIY4" s="63"/>
      <c r="AIZ4" s="63"/>
      <c r="AJA4" s="63"/>
      <c r="AJB4" s="63"/>
      <c r="AJC4" s="63"/>
      <c r="AJD4" s="63"/>
      <c r="AJE4" s="63"/>
      <c r="AJF4" s="63"/>
      <c r="AJG4" s="63"/>
      <c r="AJH4" s="63"/>
      <c r="AJI4" s="63"/>
      <c r="AJJ4" s="63"/>
      <c r="AJK4" s="63"/>
      <c r="AJL4" s="63"/>
      <c r="AJM4" s="63"/>
      <c r="AJN4" s="63"/>
      <c r="AJO4" s="63"/>
      <c r="AJP4" s="63"/>
      <c r="AJQ4" s="63"/>
      <c r="AJR4" s="63"/>
      <c r="AJS4" s="63"/>
      <c r="AJT4" s="63"/>
      <c r="AJU4" s="63"/>
      <c r="AJV4" s="63"/>
      <c r="AJW4" s="63"/>
      <c r="AJX4" s="63"/>
      <c r="AJY4" s="63"/>
      <c r="AJZ4" s="63"/>
      <c r="AKA4" s="63"/>
      <c r="AKB4" s="63"/>
      <c r="AKC4" s="63"/>
      <c r="AKD4" s="63"/>
      <c r="AKE4" s="63"/>
      <c r="AKF4" s="63"/>
      <c r="AKG4" s="63"/>
      <c r="AKH4" s="63"/>
      <c r="AKI4" s="63"/>
      <c r="AKJ4" s="63"/>
      <c r="AKK4" s="63"/>
      <c r="AKL4" s="63"/>
      <c r="AKM4" s="63"/>
      <c r="AKN4" s="63"/>
      <c r="AKO4" s="63"/>
      <c r="AKP4" s="63"/>
      <c r="AKQ4" s="63"/>
      <c r="AKR4" s="63"/>
      <c r="AKS4" s="63"/>
      <c r="AKT4" s="63"/>
      <c r="AKU4" s="63"/>
      <c r="AKV4" s="63"/>
      <c r="AKW4" s="63"/>
      <c r="AKX4" s="63"/>
      <c r="AKY4" s="63"/>
      <c r="AKZ4" s="63"/>
      <c r="ALA4" s="63"/>
      <c r="ALB4" s="63"/>
      <c r="ALC4" s="63"/>
      <c r="ALD4" s="63"/>
      <c r="ALE4" s="63"/>
      <c r="ALF4" s="63"/>
      <c r="ALG4" s="63"/>
      <c r="ALH4" s="63"/>
      <c r="ALI4" s="63"/>
      <c r="ALJ4" s="63"/>
      <c r="ALK4" s="63"/>
      <c r="ALL4" s="63"/>
      <c r="ALM4" s="63"/>
      <c r="ALN4" s="63"/>
      <c r="ALO4" s="63"/>
      <c r="ALP4" s="63"/>
      <c r="ALQ4" s="63"/>
      <c r="ALR4" s="63"/>
      <c r="ALS4" s="63"/>
      <c r="ALT4" s="63"/>
      <c r="ALU4" s="63"/>
      <c r="ALV4" s="63"/>
      <c r="ALW4" s="63"/>
      <c r="ALX4" s="63"/>
      <c r="ALY4" s="63"/>
      <c r="ALZ4" s="63"/>
      <c r="AMA4" s="63"/>
      <c r="AMB4" s="63"/>
      <c r="AMC4" s="63"/>
      <c r="AMD4" s="63"/>
      <c r="AME4" s="63"/>
      <c r="AMF4" s="63"/>
      <c r="AMG4" s="63"/>
      <c r="AMH4" s="63"/>
      <c r="AMI4" s="63"/>
      <c r="AMJ4" s="63"/>
      <c r="AMK4" s="63"/>
      <c r="AML4" s="63"/>
    </row>
    <row r="5" spans="1:1026" x14ac:dyDescent="0.25">
      <c r="A5" s="35" t="s">
        <v>140</v>
      </c>
      <c r="B5" s="36"/>
      <c r="C5" s="37">
        <f>engeletr!D33</f>
        <v>13144.560000000001</v>
      </c>
      <c r="D5" s="36"/>
      <c r="E5" s="37">
        <f>encrefig!D33</f>
        <v>4117.2719999999999</v>
      </c>
      <c r="F5" s="36"/>
      <c r="G5" s="37">
        <f>enceletr!D33</f>
        <v>4460.3779999999997</v>
      </c>
      <c r="H5" s="36"/>
      <c r="I5" s="37">
        <f>enccivil!D33</f>
        <v>4117.2719999999999</v>
      </c>
      <c r="J5" s="36"/>
      <c r="K5" s="37">
        <f>tectele!D33</f>
        <v>2675.4960000000001</v>
      </c>
      <c r="L5" s="36"/>
      <c r="M5" s="37">
        <f>teceletro!D33</f>
        <v>2898.4539999999997</v>
      </c>
      <c r="N5" s="36"/>
      <c r="O5" s="37">
        <f>tecrefrig!D33</f>
        <v>2675.4960000000001</v>
      </c>
      <c r="P5" s="36"/>
      <c r="Q5" s="37">
        <f>eletric!D33</f>
        <v>2898.4539999999997</v>
      </c>
      <c r="R5" s="36"/>
      <c r="S5" s="37">
        <f>ajmontD!D33</f>
        <v>1680.2640000000001</v>
      </c>
      <c r="T5" s="36"/>
      <c r="U5" s="37">
        <f>ajmontN!D33</f>
        <v>2385.9748800000002</v>
      </c>
      <c r="V5" s="36"/>
      <c r="W5" s="37">
        <f>auxcivil!D33</f>
        <v>2675.4960000000001</v>
      </c>
      <c r="X5" s="36"/>
      <c r="Y5" s="37">
        <f>pintorN!D33</f>
        <v>3799.2043199999998</v>
      </c>
      <c r="Z5" s="36"/>
      <c r="AA5" s="37">
        <f>auxtelha!D33</f>
        <v>2675.4960000000001</v>
      </c>
      <c r="AB5" s="36"/>
      <c r="AC5" s="37">
        <f>tecseg!D33</f>
        <v>3472.5479999999998</v>
      </c>
      <c r="AMK5" s="33"/>
      <c r="AML5" s="33"/>
    </row>
    <row r="6" spans="1:1026" x14ac:dyDescent="0.25">
      <c r="A6" s="35" t="s">
        <v>141</v>
      </c>
      <c r="B6" s="38">
        <f>engeletr!C57</f>
        <v>0.36800000000000005</v>
      </c>
      <c r="C6" s="39">
        <f>TRUNC(B6*C5,2)</f>
        <v>4837.1899999999996</v>
      </c>
      <c r="D6" s="38">
        <f>encrefig!C57</f>
        <v>0.36800000000000005</v>
      </c>
      <c r="E6" s="39">
        <f>TRUNC(D6*E5,2)</f>
        <v>1515.15</v>
      </c>
      <c r="F6" s="38">
        <f>enceletr!C57</f>
        <v>0.36800000000000005</v>
      </c>
      <c r="G6" s="39">
        <f>TRUNC(F6*G5,2)</f>
        <v>1641.41</v>
      </c>
      <c r="H6" s="38">
        <f>enccivil!C57</f>
        <v>0.36800000000000005</v>
      </c>
      <c r="I6" s="39">
        <f>TRUNC(H6*I5,2)</f>
        <v>1515.15</v>
      </c>
      <c r="J6" s="38">
        <f>tectele!C57</f>
        <v>0.36800000000000005</v>
      </c>
      <c r="K6" s="39">
        <f>TRUNC(J6*K5,2)</f>
        <v>984.58</v>
      </c>
      <c r="L6" s="38">
        <f>teceletro!C57</f>
        <v>0.36800000000000005</v>
      </c>
      <c r="M6" s="39">
        <f>TRUNC(L6*M5,2)</f>
        <v>1066.6300000000001</v>
      </c>
      <c r="N6" s="38">
        <f>tecrefrig!C57</f>
        <v>0.36800000000000005</v>
      </c>
      <c r="O6" s="39">
        <f>TRUNC(N6*O5,2)</f>
        <v>984.58</v>
      </c>
      <c r="P6" s="38">
        <f>eletric!C57</f>
        <v>0.36800000000000005</v>
      </c>
      <c r="Q6" s="39">
        <f>TRUNC(P6*Q5,2)</f>
        <v>1066.6300000000001</v>
      </c>
      <c r="R6" s="38">
        <f>ajmontD!C57</f>
        <v>0.36800000000000005</v>
      </c>
      <c r="S6" s="39">
        <f>TRUNC(R6*S5,2)</f>
        <v>618.33000000000004</v>
      </c>
      <c r="T6" s="38">
        <f>ajmontN!C57</f>
        <v>0.36800000000000005</v>
      </c>
      <c r="U6" s="39">
        <f>TRUNC(T6*U5,2)</f>
        <v>878.03</v>
      </c>
      <c r="V6" s="38">
        <f>auxcivil!C57</f>
        <v>0.36800000000000005</v>
      </c>
      <c r="W6" s="39">
        <f>TRUNC(V6*W5,2)</f>
        <v>984.58</v>
      </c>
      <c r="X6" s="38">
        <f>pintorN!C57</f>
        <v>0.36800000000000005</v>
      </c>
      <c r="Y6" s="39">
        <f>TRUNC(X6*Y5,2)</f>
        <v>1398.1</v>
      </c>
      <c r="Z6" s="38">
        <f>auxtelha!C57</f>
        <v>0.36800000000000005</v>
      </c>
      <c r="AA6" s="39">
        <f>TRUNC(Z6*AA5,2)</f>
        <v>984.58</v>
      </c>
      <c r="AB6" s="38">
        <f>tecseg!C57</f>
        <v>0.36800000000000005</v>
      </c>
      <c r="AC6" s="39">
        <f>TRUNC(AB6*AC5,2)</f>
        <v>1277.8900000000001</v>
      </c>
      <c r="AMK6" s="33"/>
      <c r="AML6" s="33"/>
    </row>
    <row r="7" spans="1:1026" x14ac:dyDescent="0.25">
      <c r="A7" s="35" t="s">
        <v>200</v>
      </c>
      <c r="B7" s="38">
        <f>engeletr!C143</f>
        <v>0.21840000000000001</v>
      </c>
      <c r="C7" s="39">
        <f>TRUNC((C5+C6)*B7,2)</f>
        <v>3927.21</v>
      </c>
      <c r="D7" s="38">
        <f>encrefig!C143</f>
        <v>0.21840000000000001</v>
      </c>
      <c r="E7" s="39">
        <f>TRUNC((E5+E6)*D7,2)</f>
        <v>1230.1199999999999</v>
      </c>
      <c r="F7" s="38">
        <f>enceletr!C143</f>
        <v>0.21840000000000001</v>
      </c>
      <c r="G7" s="39">
        <f>TRUNC((G5+G6)*F7,2)</f>
        <v>1332.63</v>
      </c>
      <c r="H7" s="38">
        <f>enccivil!C143</f>
        <v>0.21840000000000001</v>
      </c>
      <c r="I7" s="39">
        <f>TRUNC((I5+I6)*H7,2)</f>
        <v>1230.1199999999999</v>
      </c>
      <c r="J7" s="38">
        <f>tectele!C143</f>
        <v>0.21840000000000001</v>
      </c>
      <c r="K7" s="39">
        <f>TRUNC((K5+K6)*J7,2)</f>
        <v>799.36</v>
      </c>
      <c r="L7" s="38">
        <f>teceletro!C143</f>
        <v>0.21840000000000001</v>
      </c>
      <c r="M7" s="39">
        <f>TRUNC((M5+M6)*L7,2)</f>
        <v>865.97</v>
      </c>
      <c r="N7" s="38">
        <f>tecrefrig!C143</f>
        <v>0.21840000000000001</v>
      </c>
      <c r="O7" s="39">
        <f>TRUNC((O5+O6)*N7,2)</f>
        <v>799.36</v>
      </c>
      <c r="P7" s="38">
        <f>eletric!C143</f>
        <v>0.21840000000000001</v>
      </c>
      <c r="Q7" s="39">
        <f>TRUNC((Q5+Q6)*P7,2)</f>
        <v>865.97</v>
      </c>
      <c r="R7" s="38">
        <f>ajmontD!C143</f>
        <v>0.21840000000000001</v>
      </c>
      <c r="S7" s="39">
        <f>TRUNC((S5+S6)*R7,2)</f>
        <v>502.01</v>
      </c>
      <c r="T7" s="38">
        <f>ajmontN!C143</f>
        <v>0.21840000000000001</v>
      </c>
      <c r="U7" s="39">
        <f>TRUNC((U5+U6)*T7,2)</f>
        <v>712.85</v>
      </c>
      <c r="V7" s="38">
        <f>auxcivil!C143</f>
        <v>0.21840000000000001</v>
      </c>
      <c r="W7" s="39">
        <f>TRUNC((W5+W6)*V7,2)</f>
        <v>799.36</v>
      </c>
      <c r="X7" s="38">
        <f>pintorN!C143</f>
        <v>0.21840000000000001</v>
      </c>
      <c r="Y7" s="39">
        <f>TRUNC((Y5+Y6)*X7,2)</f>
        <v>1135.0899999999999</v>
      </c>
      <c r="Z7" s="38">
        <f>auxtelha!C143</f>
        <v>0.21840000000000001</v>
      </c>
      <c r="AA7" s="39">
        <f>TRUNC((AA5+AA6)*Z7,2)</f>
        <v>799.36</v>
      </c>
      <c r="AB7" s="38">
        <f>tecseg!C143</f>
        <v>0.21840000000000001</v>
      </c>
      <c r="AC7" s="39">
        <f>TRUNC((AC5+AC6)*AB7,2)</f>
        <v>1037.49</v>
      </c>
      <c r="AMK7" s="33"/>
      <c r="AML7" s="33"/>
    </row>
    <row r="8" spans="1:1026" x14ac:dyDescent="0.25">
      <c r="A8" s="35" t="s">
        <v>142</v>
      </c>
      <c r="B8" s="36"/>
      <c r="C8" s="37">
        <f>SUM(C5:C7)</f>
        <v>21908.959999999999</v>
      </c>
      <c r="D8" s="36"/>
      <c r="E8" s="37">
        <f>SUM(E5:E7)</f>
        <v>6862.5420000000004</v>
      </c>
      <c r="F8" s="36"/>
      <c r="G8" s="37">
        <f>SUM(G5:G7)</f>
        <v>7434.4179999999997</v>
      </c>
      <c r="H8" s="36"/>
      <c r="I8" s="37">
        <f>SUM(I5:I7)</f>
        <v>6862.5420000000004</v>
      </c>
      <c r="J8" s="36"/>
      <c r="K8" s="37">
        <f>SUM(K5:K7)</f>
        <v>4459.4359999999997</v>
      </c>
      <c r="L8" s="36"/>
      <c r="M8" s="37">
        <f>SUM(M5:M7)</f>
        <v>4831.0540000000001</v>
      </c>
      <c r="N8" s="36"/>
      <c r="O8" s="37">
        <f>SUM(O5:O7)</f>
        <v>4459.4359999999997</v>
      </c>
      <c r="P8" s="36"/>
      <c r="Q8" s="37">
        <f>SUM(Q5:Q7)</f>
        <v>4831.0540000000001</v>
      </c>
      <c r="R8" s="36"/>
      <c r="S8" s="37">
        <f>SUM(S5:S7)</f>
        <v>2800.6040000000003</v>
      </c>
      <c r="T8" s="36"/>
      <c r="U8" s="37">
        <f>SUM(U5:U7)</f>
        <v>3976.8548800000003</v>
      </c>
      <c r="V8" s="36"/>
      <c r="W8" s="37">
        <f>SUM(W5:W7)</f>
        <v>4459.4359999999997</v>
      </c>
      <c r="X8" s="36"/>
      <c r="Y8" s="37">
        <f>SUM(Y5:Y7)</f>
        <v>6332.3943199999994</v>
      </c>
      <c r="Z8" s="36"/>
      <c r="AA8" s="37">
        <f>SUM(AA5:AA7)</f>
        <v>4459.4359999999997</v>
      </c>
      <c r="AB8" s="36"/>
      <c r="AC8" s="37">
        <f>SUM(AC5:AC7)</f>
        <v>5787.9279999999999</v>
      </c>
      <c r="AMK8" s="33"/>
      <c r="AML8" s="33"/>
    </row>
    <row r="9" spans="1:1026" x14ac:dyDescent="0.25">
      <c r="A9" s="35" t="s">
        <v>143</v>
      </c>
      <c r="B9" s="36"/>
      <c r="C9" s="37">
        <f>TRUNC(C8/220,2)</f>
        <v>99.58</v>
      </c>
      <c r="D9" s="36"/>
      <c r="E9" s="37">
        <f>TRUNC(E8/220,2)</f>
        <v>31.19</v>
      </c>
      <c r="F9" s="36"/>
      <c r="G9" s="37">
        <f>TRUNC(G8/220,2)</f>
        <v>33.79</v>
      </c>
      <c r="H9" s="36"/>
      <c r="I9" s="37">
        <f>TRUNC(I8/220,2)</f>
        <v>31.19</v>
      </c>
      <c r="J9" s="36"/>
      <c r="K9" s="37">
        <f>TRUNC(K8/220,2)</f>
        <v>20.27</v>
      </c>
      <c r="L9" s="36"/>
      <c r="M9" s="37">
        <f>TRUNC(M8/220,2)</f>
        <v>21.95</v>
      </c>
      <c r="N9" s="36"/>
      <c r="O9" s="37">
        <f>TRUNC(O8/220,2)</f>
        <v>20.27</v>
      </c>
      <c r="P9" s="36"/>
      <c r="Q9" s="37">
        <f>TRUNC(Q8/220,2)</f>
        <v>21.95</v>
      </c>
      <c r="R9" s="36"/>
      <c r="S9" s="37">
        <f>TRUNC(S8/220,2)</f>
        <v>12.73</v>
      </c>
      <c r="T9" s="36"/>
      <c r="U9" s="37">
        <f>TRUNC(U8/220,2)</f>
        <v>18.07</v>
      </c>
      <c r="V9" s="36"/>
      <c r="W9" s="37">
        <f>TRUNC(W8/220,2)</f>
        <v>20.27</v>
      </c>
      <c r="X9" s="36"/>
      <c r="Y9" s="37">
        <f>TRUNC(Y8/220,2)</f>
        <v>28.78</v>
      </c>
      <c r="Z9" s="36"/>
      <c r="AA9" s="37">
        <f>TRUNC(AA8/220,2)</f>
        <v>20.27</v>
      </c>
      <c r="AB9" s="36"/>
      <c r="AC9" s="37">
        <f>TRUNC(AC8/220,2)</f>
        <v>26.3</v>
      </c>
      <c r="AMK9" s="33"/>
      <c r="AML9" s="33"/>
    </row>
    <row r="10" spans="1:1026" x14ac:dyDescent="0.25">
      <c r="A10" s="35" t="s">
        <v>144</v>
      </c>
      <c r="B10" s="40">
        <v>0.5</v>
      </c>
      <c r="C10" s="39">
        <f>TRUNC(C9*(1+B10),2)</f>
        <v>149.37</v>
      </c>
      <c r="D10" s="40">
        <v>0.5</v>
      </c>
      <c r="E10" s="39">
        <f>TRUNC(E9*(1+D10),2)</f>
        <v>46.78</v>
      </c>
      <c r="F10" s="40">
        <v>0.5</v>
      </c>
      <c r="G10" s="39">
        <f>TRUNC(G9*(1+F10),2)</f>
        <v>50.68</v>
      </c>
      <c r="H10" s="40">
        <v>0.5</v>
      </c>
      <c r="I10" s="39">
        <f>TRUNC(I9*(1+H10),2)</f>
        <v>46.78</v>
      </c>
      <c r="J10" s="40">
        <v>0.5</v>
      </c>
      <c r="K10" s="39">
        <f>TRUNC(K9*(1+J10),2)</f>
        <v>30.4</v>
      </c>
      <c r="L10" s="40">
        <v>0.5</v>
      </c>
      <c r="M10" s="39">
        <f>TRUNC(M9*(1+L10),2)</f>
        <v>32.92</v>
      </c>
      <c r="N10" s="40">
        <v>0.5</v>
      </c>
      <c r="O10" s="39">
        <f>TRUNC(O9*(1+N10),2)</f>
        <v>30.4</v>
      </c>
      <c r="P10" s="40">
        <v>0.5</v>
      </c>
      <c r="Q10" s="39">
        <f>TRUNC(Q9*(1+P10),2)</f>
        <v>32.92</v>
      </c>
      <c r="R10" s="40">
        <v>0.5</v>
      </c>
      <c r="S10" s="39">
        <f>TRUNC(S9*(1+R10),2)</f>
        <v>19.09</v>
      </c>
      <c r="T10" s="40">
        <v>0.5</v>
      </c>
      <c r="U10" s="39">
        <f>TRUNC(U9*(1+T10),2)</f>
        <v>27.1</v>
      </c>
      <c r="V10" s="40">
        <v>0.5</v>
      </c>
      <c r="W10" s="39">
        <f>TRUNC(W9*(1+V10),2)</f>
        <v>30.4</v>
      </c>
      <c r="X10" s="40">
        <v>0.5</v>
      </c>
      <c r="Y10" s="39">
        <f>TRUNC(Y9*(1+X10),2)</f>
        <v>43.17</v>
      </c>
      <c r="Z10" s="40">
        <v>0.5</v>
      </c>
      <c r="AA10" s="39">
        <f>TRUNC(AA9*(1+Z10),2)</f>
        <v>30.4</v>
      </c>
      <c r="AB10" s="40">
        <v>0.5</v>
      </c>
      <c r="AC10" s="39">
        <f>TRUNC(AC9*(1+AB10),2)</f>
        <v>39.450000000000003</v>
      </c>
      <c r="AMK10" s="33"/>
      <c r="AML10" s="33"/>
    </row>
    <row r="11" spans="1:1026" x14ac:dyDescent="0.25">
      <c r="A11" s="35" t="s">
        <v>145</v>
      </c>
      <c r="B11" s="40">
        <v>0.5</v>
      </c>
      <c r="C11" s="39">
        <f>TRUNC(C9*(1+B11),2)</f>
        <v>149.37</v>
      </c>
      <c r="D11" s="40">
        <v>0.7</v>
      </c>
      <c r="E11" s="39">
        <f>TRUNC(E9*(1+D11),2)</f>
        <v>53.02</v>
      </c>
      <c r="F11" s="40">
        <v>0.7</v>
      </c>
      <c r="G11" s="39">
        <f>TRUNC(G9*(1+F11),2)</f>
        <v>57.44</v>
      </c>
      <c r="H11" s="40">
        <v>0.7</v>
      </c>
      <c r="I11" s="39">
        <f>TRUNC(I9*(1+H11),2)</f>
        <v>53.02</v>
      </c>
      <c r="J11" s="40">
        <v>0.7</v>
      </c>
      <c r="K11" s="39">
        <f>TRUNC(K9*(1+J11),2)</f>
        <v>34.450000000000003</v>
      </c>
      <c r="L11" s="40">
        <v>0.7</v>
      </c>
      <c r="M11" s="39">
        <f>TRUNC(M9*(1+L11),2)</f>
        <v>37.31</v>
      </c>
      <c r="N11" s="40">
        <v>0.7</v>
      </c>
      <c r="O11" s="39">
        <f>TRUNC(O9*(1+N11),2)</f>
        <v>34.450000000000003</v>
      </c>
      <c r="P11" s="40">
        <v>0.7</v>
      </c>
      <c r="Q11" s="39">
        <f>TRUNC(Q9*(1+P11),2)</f>
        <v>37.31</v>
      </c>
      <c r="R11" s="40">
        <v>0.7</v>
      </c>
      <c r="S11" s="39">
        <f>TRUNC(S9*(1+R11),2)</f>
        <v>21.64</v>
      </c>
      <c r="T11" s="40">
        <v>0.7</v>
      </c>
      <c r="U11" s="39">
        <f>TRUNC(U9*(1+T11),2)</f>
        <v>30.71</v>
      </c>
      <c r="V11" s="40">
        <v>0.7</v>
      </c>
      <c r="W11" s="39">
        <f>TRUNC(W9*(1+V11),2)</f>
        <v>34.450000000000003</v>
      </c>
      <c r="X11" s="40">
        <v>0.7</v>
      </c>
      <c r="Y11" s="39">
        <f>TRUNC(Y9*(1+X11),2)</f>
        <v>48.92</v>
      </c>
      <c r="Z11" s="40">
        <v>0.7</v>
      </c>
      <c r="AA11" s="39">
        <f>TRUNC(AA9*(1+Z11),2)</f>
        <v>34.450000000000003</v>
      </c>
      <c r="AB11" s="40">
        <v>0.5</v>
      </c>
      <c r="AC11" s="39">
        <f>TRUNC(AC9*(1+AB11),2)</f>
        <v>39.450000000000003</v>
      </c>
      <c r="AMK11" s="33"/>
      <c r="AML11" s="33"/>
    </row>
    <row r="12" spans="1:1026" x14ac:dyDescent="0.25">
      <c r="A12" s="35" t="s">
        <v>146</v>
      </c>
      <c r="B12" s="40">
        <v>1</v>
      </c>
      <c r="C12" s="39">
        <f>TRUNC(C9*(1+B12),2)</f>
        <v>199.16</v>
      </c>
      <c r="D12" s="40">
        <v>1.1000000000000001</v>
      </c>
      <c r="E12" s="39">
        <f>TRUNC(E9*(1+D12),2)</f>
        <v>65.489999999999995</v>
      </c>
      <c r="F12" s="40">
        <v>1.1000000000000001</v>
      </c>
      <c r="G12" s="39">
        <f>TRUNC(G9*(1+F12),2)</f>
        <v>70.95</v>
      </c>
      <c r="H12" s="40">
        <v>1.1000000000000001</v>
      </c>
      <c r="I12" s="39">
        <f>TRUNC(I9*(1+H12),2)</f>
        <v>65.489999999999995</v>
      </c>
      <c r="J12" s="40">
        <v>1.1000000000000001</v>
      </c>
      <c r="K12" s="39">
        <f>TRUNC(K9*(1+J12),2)</f>
        <v>42.56</v>
      </c>
      <c r="L12" s="40">
        <v>1.1000000000000001</v>
      </c>
      <c r="M12" s="39">
        <f>TRUNC(M9*(1+L12),2)</f>
        <v>46.09</v>
      </c>
      <c r="N12" s="40">
        <v>1.1000000000000001</v>
      </c>
      <c r="O12" s="39">
        <f>TRUNC(O9*(1+N12),2)</f>
        <v>42.56</v>
      </c>
      <c r="P12" s="40">
        <v>1.1000000000000001</v>
      </c>
      <c r="Q12" s="39">
        <f>TRUNC(Q9*(1+P12),2)</f>
        <v>46.09</v>
      </c>
      <c r="R12" s="40">
        <v>1.1000000000000001</v>
      </c>
      <c r="S12" s="39">
        <f>TRUNC(S9*(1+R12),2)</f>
        <v>26.73</v>
      </c>
      <c r="T12" s="40">
        <v>1.1000000000000001</v>
      </c>
      <c r="U12" s="39">
        <f>TRUNC(U9*(1+T12),2)</f>
        <v>37.94</v>
      </c>
      <c r="V12" s="40">
        <v>1.1000000000000001</v>
      </c>
      <c r="W12" s="39">
        <f>TRUNC(W9*(1+V12),2)</f>
        <v>42.56</v>
      </c>
      <c r="X12" s="40">
        <v>1.1000000000000001</v>
      </c>
      <c r="Y12" s="39">
        <f>TRUNC(Y9*(1+X12),2)</f>
        <v>60.43</v>
      </c>
      <c r="Z12" s="40">
        <v>1.1000000000000001</v>
      </c>
      <c r="AA12" s="39">
        <f>TRUNC(AA9*(1+Z12),2)</f>
        <v>42.56</v>
      </c>
      <c r="AB12" s="40">
        <v>1</v>
      </c>
      <c r="AC12" s="39">
        <f>TRUNC(AC9*(1+AB12),2)</f>
        <v>52.6</v>
      </c>
      <c r="AMK12" s="33"/>
      <c r="AML12" s="33"/>
    </row>
    <row r="13" spans="1:1026" x14ac:dyDescent="0.25">
      <c r="A13" s="75"/>
      <c r="B13" s="76"/>
      <c r="C13" s="77"/>
      <c r="D13" s="76"/>
      <c r="E13" s="77"/>
      <c r="F13" s="76"/>
      <c r="G13" s="77"/>
      <c r="H13" s="76"/>
      <c r="I13" s="77"/>
      <c r="J13" s="76"/>
      <c r="K13" s="77"/>
      <c r="L13" s="76"/>
      <c r="M13" s="77"/>
      <c r="N13" s="76"/>
      <c r="O13" s="77"/>
      <c r="P13" s="76"/>
      <c r="Q13" s="77"/>
      <c r="R13" s="76"/>
      <c r="S13" s="77"/>
      <c r="T13" s="76"/>
      <c r="U13" s="77"/>
      <c r="V13" s="76"/>
      <c r="W13" s="77"/>
      <c r="X13" s="76"/>
      <c r="Y13" s="77"/>
      <c r="Z13" s="76"/>
      <c r="AA13" s="77"/>
      <c r="AB13" s="76"/>
      <c r="AC13" s="77"/>
      <c r="AMK13" s="33"/>
      <c r="AML13" s="33"/>
    </row>
    <row r="14" spans="1:1026" x14ac:dyDescent="0.25">
      <c r="A14" s="87" t="s">
        <v>218</v>
      </c>
      <c r="B14" s="79"/>
      <c r="C14" s="80"/>
      <c r="D14" s="79"/>
      <c r="E14" s="80"/>
      <c r="F14" s="79"/>
      <c r="G14" s="80"/>
      <c r="H14" s="79"/>
      <c r="I14" s="80"/>
      <c r="J14" s="79"/>
      <c r="K14" s="80"/>
      <c r="L14" s="79"/>
      <c r="M14" s="80"/>
      <c r="N14" s="79"/>
      <c r="O14" s="80"/>
      <c r="P14" s="79"/>
      <c r="Q14" s="80"/>
      <c r="R14" s="79"/>
      <c r="S14" s="80"/>
      <c r="T14" s="79"/>
      <c r="U14" s="80"/>
      <c r="V14" s="79"/>
      <c r="W14" s="80"/>
      <c r="X14" s="79"/>
      <c r="Y14" s="80"/>
      <c r="Z14" s="79"/>
      <c r="AA14" s="80"/>
      <c r="AB14" s="79"/>
      <c r="AC14" s="80"/>
      <c r="AMK14" s="33"/>
      <c r="AML14" s="33"/>
    </row>
    <row r="15" spans="1:1026" ht="89.25" customHeight="1" x14ac:dyDescent="0.25">
      <c r="A15" s="62" t="s">
        <v>139</v>
      </c>
      <c r="B15" s="119" t="str">
        <f>engeletr!A13</f>
        <v>Engenheiro Eletricista (Supervisor)</v>
      </c>
      <c r="C15" s="120"/>
      <c r="D15" s="119" t="str">
        <f>encrefig!A13</f>
        <v>Encarregado - Refrigeração</v>
      </c>
      <c r="E15" s="120"/>
      <c r="F15" s="119" t="str">
        <f>enceletr!A13</f>
        <v xml:space="preserve">Encarregado - Elétrica </v>
      </c>
      <c r="G15" s="120"/>
      <c r="H15" s="119" t="str">
        <f>enccivil!A13</f>
        <v>Encarregado - Civil</v>
      </c>
      <c r="I15" s="120"/>
      <c r="J15" s="119" t="str">
        <f>tectele!A13</f>
        <v>Técnico em Redes e Telecomunicações</v>
      </c>
      <c r="K15" s="120"/>
      <c r="L15" s="119" t="str">
        <f>teceletro!A13</f>
        <v>Técnico em Eletromecânica</v>
      </c>
      <c r="M15" s="120"/>
      <c r="N15" s="119" t="str">
        <f>tecrefrig!A13</f>
        <v>Técnico em Refrigeração</v>
      </c>
      <c r="O15" s="120"/>
      <c r="P15" s="119" t="str">
        <f>eletric!A13</f>
        <v>Eletricista</v>
      </c>
      <c r="Q15" s="120"/>
      <c r="R15" s="119" t="str">
        <f>ajmontD!A13</f>
        <v>Ajudante de Montagem e Manutenção (Servente Prático) - diurno</v>
      </c>
      <c r="S15" s="120"/>
      <c r="T15" s="119" t="str">
        <f>ajmontN!A13</f>
        <v>Ajudante de Montagem e Manutenção (Servente Prático) - noturno</v>
      </c>
      <c r="U15" s="120"/>
      <c r="V15" s="119" t="str">
        <f>auxcivil!A13</f>
        <v xml:space="preserve">Auxiliar Técnico – Civil (pequenas obras e adequações prediais) </v>
      </c>
      <c r="W15" s="120"/>
      <c r="X15" s="119" t="str">
        <f>pintorN!A13</f>
        <v>Pintor Industrial (Estruturas Metálicas) - noturno</v>
      </c>
      <c r="Y15" s="120"/>
      <c r="Z15" s="119" t="str">
        <f>auxtelha!A13</f>
        <v>Auxiliar Técnico – Telhadista</v>
      </c>
      <c r="AA15" s="120"/>
      <c r="AB15" s="119" t="str">
        <f>tecseg!A13</f>
        <v xml:space="preserve">Técnico de Segurança no Trabalho Pleno </v>
      </c>
      <c r="AC15" s="120"/>
      <c r="AMK15" s="33"/>
      <c r="AML15" s="33"/>
    </row>
    <row r="16" spans="1:1026" x14ac:dyDescent="0.25">
      <c r="A16" s="35" t="s">
        <v>147</v>
      </c>
      <c r="B16" s="35">
        <v>13</v>
      </c>
      <c r="C16" s="39">
        <f>C10*B16</f>
        <v>1941.81</v>
      </c>
      <c r="D16" s="35">
        <v>13</v>
      </c>
      <c r="E16" s="39">
        <f>E10*D16</f>
        <v>608.14</v>
      </c>
      <c r="F16" s="35">
        <v>13</v>
      </c>
      <c r="G16" s="39">
        <f>G10*F16</f>
        <v>658.84</v>
      </c>
      <c r="H16" s="35">
        <v>13</v>
      </c>
      <c r="I16" s="39">
        <f>I10*H16</f>
        <v>608.14</v>
      </c>
      <c r="J16" s="35">
        <v>13</v>
      </c>
      <c r="K16" s="39">
        <f>K10*J16</f>
        <v>395.2</v>
      </c>
      <c r="L16" s="35">
        <v>13</v>
      </c>
      <c r="M16" s="39">
        <f>M10*L16</f>
        <v>427.96000000000004</v>
      </c>
      <c r="N16" s="35">
        <v>13</v>
      </c>
      <c r="O16" s="39">
        <f>O10*N16</f>
        <v>395.2</v>
      </c>
      <c r="P16" s="35">
        <v>13</v>
      </c>
      <c r="Q16" s="39">
        <f>Q10*P16</f>
        <v>427.96000000000004</v>
      </c>
      <c r="R16" s="35">
        <v>13</v>
      </c>
      <c r="S16" s="39">
        <f>S10*R16</f>
        <v>248.17</v>
      </c>
      <c r="T16" s="35">
        <v>13</v>
      </c>
      <c r="U16" s="39">
        <f>U10*T16</f>
        <v>352.3</v>
      </c>
      <c r="V16" s="35">
        <v>13</v>
      </c>
      <c r="W16" s="39">
        <f>W10*V16</f>
        <v>395.2</v>
      </c>
      <c r="X16" s="35">
        <v>13</v>
      </c>
      <c r="Y16" s="39">
        <f>Y10*X16</f>
        <v>561.21</v>
      </c>
      <c r="Z16" s="35">
        <v>13</v>
      </c>
      <c r="AA16" s="39">
        <f>AA10*Z16</f>
        <v>395.2</v>
      </c>
      <c r="AB16" s="35">
        <v>13</v>
      </c>
      <c r="AC16" s="39">
        <f>AC10*AB16</f>
        <v>512.85</v>
      </c>
      <c r="AMK16" s="33"/>
      <c r="AML16" s="33"/>
    </row>
    <row r="17" spans="1:29 1025:1026" x14ac:dyDescent="0.25">
      <c r="A17" s="35" t="s">
        <v>148</v>
      </c>
      <c r="B17" s="35">
        <v>32</v>
      </c>
      <c r="C17" s="39">
        <f>C11*B17</f>
        <v>4779.84</v>
      </c>
      <c r="D17" s="35">
        <v>32</v>
      </c>
      <c r="E17" s="39">
        <f>E11*D17</f>
        <v>1696.64</v>
      </c>
      <c r="F17" s="35">
        <v>32</v>
      </c>
      <c r="G17" s="39">
        <f>G11*F17</f>
        <v>1838.08</v>
      </c>
      <c r="H17" s="35">
        <v>32</v>
      </c>
      <c r="I17" s="39">
        <f>I11*H17</f>
        <v>1696.64</v>
      </c>
      <c r="J17" s="35">
        <v>32</v>
      </c>
      <c r="K17" s="39">
        <f>K11*J17</f>
        <v>1102.4000000000001</v>
      </c>
      <c r="L17" s="35">
        <v>32</v>
      </c>
      <c r="M17" s="39">
        <f>M11*L17</f>
        <v>1193.92</v>
      </c>
      <c r="N17" s="35">
        <v>32</v>
      </c>
      <c r="O17" s="39">
        <f>O11*N17</f>
        <v>1102.4000000000001</v>
      </c>
      <c r="P17" s="35">
        <v>32</v>
      </c>
      <c r="Q17" s="39">
        <f>Q11*P17</f>
        <v>1193.92</v>
      </c>
      <c r="R17" s="35">
        <v>32</v>
      </c>
      <c r="S17" s="39">
        <f>S11*R17</f>
        <v>692.48</v>
      </c>
      <c r="T17" s="35">
        <v>32</v>
      </c>
      <c r="U17" s="39">
        <f>U11*T17</f>
        <v>982.72</v>
      </c>
      <c r="V17" s="35">
        <v>32</v>
      </c>
      <c r="W17" s="39">
        <f>W11*V17</f>
        <v>1102.4000000000001</v>
      </c>
      <c r="X17" s="35">
        <v>32</v>
      </c>
      <c r="Y17" s="39">
        <f>Y11*X17</f>
        <v>1565.44</v>
      </c>
      <c r="Z17" s="35">
        <v>32</v>
      </c>
      <c r="AA17" s="39">
        <f>AA11*Z17</f>
        <v>1102.4000000000001</v>
      </c>
      <c r="AB17" s="35">
        <v>32</v>
      </c>
      <c r="AC17" s="39">
        <f>AC11*AB17</f>
        <v>1262.4000000000001</v>
      </c>
      <c r="AMK17" s="33"/>
      <c r="AML17" s="33"/>
    </row>
    <row r="18" spans="1:29 1025:1026" x14ac:dyDescent="0.25">
      <c r="A18" s="35" t="s">
        <v>149</v>
      </c>
      <c r="B18" s="35">
        <v>17</v>
      </c>
      <c r="C18" s="39">
        <f>C12*B18</f>
        <v>3385.72</v>
      </c>
      <c r="D18" s="35">
        <v>17</v>
      </c>
      <c r="E18" s="39">
        <f>E12*D18</f>
        <v>1113.33</v>
      </c>
      <c r="F18" s="35">
        <v>17</v>
      </c>
      <c r="G18" s="39">
        <f>G12*F18</f>
        <v>1206.1500000000001</v>
      </c>
      <c r="H18" s="35">
        <v>17</v>
      </c>
      <c r="I18" s="39">
        <f>I12*H18</f>
        <v>1113.33</v>
      </c>
      <c r="J18" s="35">
        <v>17</v>
      </c>
      <c r="K18" s="39">
        <f>K12*J18</f>
        <v>723.52</v>
      </c>
      <c r="L18" s="35">
        <v>17</v>
      </c>
      <c r="M18" s="39">
        <f>M12*L18</f>
        <v>783.53000000000009</v>
      </c>
      <c r="N18" s="35">
        <v>17</v>
      </c>
      <c r="O18" s="39">
        <f>O12*N18</f>
        <v>723.52</v>
      </c>
      <c r="P18" s="35">
        <v>17</v>
      </c>
      <c r="Q18" s="39">
        <f>Q12*P18</f>
        <v>783.53000000000009</v>
      </c>
      <c r="R18" s="35">
        <v>17</v>
      </c>
      <c r="S18" s="39">
        <f>S12*R18</f>
        <v>454.41</v>
      </c>
      <c r="T18" s="35">
        <v>17</v>
      </c>
      <c r="U18" s="39">
        <f>U12*T18</f>
        <v>644.98</v>
      </c>
      <c r="V18" s="35">
        <v>17</v>
      </c>
      <c r="W18" s="39">
        <f>W12*V18</f>
        <v>723.52</v>
      </c>
      <c r="X18" s="35">
        <v>17</v>
      </c>
      <c r="Y18" s="39">
        <f>Y12*X18</f>
        <v>1027.31</v>
      </c>
      <c r="Z18" s="35">
        <v>17</v>
      </c>
      <c r="AA18" s="39">
        <f>AA12*Z18</f>
        <v>723.52</v>
      </c>
      <c r="AB18" s="35">
        <v>17</v>
      </c>
      <c r="AC18" s="39">
        <f>AC12*AB18</f>
        <v>894.2</v>
      </c>
      <c r="AMK18" s="33"/>
      <c r="AML18" s="33"/>
    </row>
    <row r="19" spans="1:29 1025:1026" x14ac:dyDescent="0.25">
      <c r="A19" s="35" t="s">
        <v>150</v>
      </c>
      <c r="B19" s="36"/>
      <c r="C19" s="37">
        <f>SUM(C16:C18)</f>
        <v>10107.369999999999</v>
      </c>
      <c r="D19" s="36"/>
      <c r="E19" s="37">
        <f>SUM(E16:E18)</f>
        <v>3418.11</v>
      </c>
      <c r="F19" s="36"/>
      <c r="G19" s="37">
        <f>SUM(G16:G18)</f>
        <v>3703.07</v>
      </c>
      <c r="H19" s="36"/>
      <c r="I19" s="37">
        <f>SUM(I16:I18)</f>
        <v>3418.11</v>
      </c>
      <c r="J19" s="36"/>
      <c r="K19" s="37">
        <f>SUM(K16:K18)</f>
        <v>2221.12</v>
      </c>
      <c r="L19" s="36"/>
      <c r="M19" s="37">
        <f>SUM(M16:M18)</f>
        <v>2405.4100000000003</v>
      </c>
      <c r="N19" s="36"/>
      <c r="O19" s="37">
        <f>SUM(O16:O18)</f>
        <v>2221.12</v>
      </c>
      <c r="P19" s="36"/>
      <c r="Q19" s="37">
        <f>SUM(Q16:Q18)</f>
        <v>2405.4100000000003</v>
      </c>
      <c r="R19" s="36"/>
      <c r="S19" s="37">
        <f>SUM(S16:S18)</f>
        <v>1395.06</v>
      </c>
      <c r="T19" s="36"/>
      <c r="U19" s="37">
        <f>SUM(U16:U18)</f>
        <v>1980</v>
      </c>
      <c r="V19" s="36"/>
      <c r="W19" s="37">
        <f>SUM(W16:W18)</f>
        <v>2221.12</v>
      </c>
      <c r="X19" s="36"/>
      <c r="Y19" s="37">
        <f>SUM(Y16:Y18)</f>
        <v>3153.96</v>
      </c>
      <c r="Z19" s="36"/>
      <c r="AA19" s="37">
        <f>SUM(AA16:AA18)</f>
        <v>2221.12</v>
      </c>
      <c r="AB19" s="36"/>
      <c r="AC19" s="37">
        <f>SUM(AC16:AC18)</f>
        <v>2669.45</v>
      </c>
      <c r="AMK19" s="33"/>
      <c r="AML19" s="33"/>
    </row>
    <row r="20" spans="1:29 1025:1026" x14ac:dyDescent="0.25">
      <c r="A20" s="35" t="s">
        <v>151</v>
      </c>
      <c r="B20" s="36"/>
      <c r="C20" s="41">
        <f>engeletr!D13</f>
        <v>1</v>
      </c>
      <c r="D20" s="36"/>
      <c r="E20" s="41">
        <f>encrefig!D13</f>
        <v>1</v>
      </c>
      <c r="F20" s="36"/>
      <c r="G20" s="41">
        <f>enceletr!D13</f>
        <v>1</v>
      </c>
      <c r="H20" s="36"/>
      <c r="I20" s="41">
        <f>enccivil!D13</f>
        <v>1</v>
      </c>
      <c r="J20" s="36"/>
      <c r="K20" s="41">
        <f>tectele!D13</f>
        <v>2</v>
      </c>
      <c r="L20" s="36"/>
      <c r="M20" s="41">
        <f>teceletro!D13</f>
        <v>1</v>
      </c>
      <c r="N20" s="36"/>
      <c r="O20" s="41">
        <f>tecrefrig!D13</f>
        <v>2</v>
      </c>
      <c r="P20" s="36"/>
      <c r="Q20" s="41">
        <f>eletric!D13</f>
        <v>2</v>
      </c>
      <c r="R20" s="36"/>
      <c r="S20" s="41">
        <f>ajmontD!D13</f>
        <v>3</v>
      </c>
      <c r="T20" s="36"/>
      <c r="U20" s="41">
        <f>ajmontN!D13</f>
        <v>1</v>
      </c>
      <c r="V20" s="36"/>
      <c r="W20" s="41">
        <f>auxcivil!D13</f>
        <v>2</v>
      </c>
      <c r="X20" s="36"/>
      <c r="Y20" s="41">
        <f>pintorN!D13</f>
        <v>1</v>
      </c>
      <c r="Z20" s="36"/>
      <c r="AA20" s="41">
        <f>auxtelha!D13</f>
        <v>2</v>
      </c>
      <c r="AB20" s="36"/>
      <c r="AC20" s="41">
        <f>tecseg!D13</f>
        <v>1</v>
      </c>
      <c r="AMK20" s="33"/>
      <c r="AML20" s="33"/>
    </row>
    <row r="21" spans="1:29 1025:1026" x14ac:dyDescent="0.25">
      <c r="A21" s="35" t="s">
        <v>201</v>
      </c>
      <c r="B21" s="36"/>
      <c r="C21" s="37">
        <f>C19*C20</f>
        <v>10107.369999999999</v>
      </c>
      <c r="D21" s="36"/>
      <c r="E21" s="37">
        <f>E19*E20</f>
        <v>3418.11</v>
      </c>
      <c r="F21" s="36"/>
      <c r="G21" s="37">
        <f>G19*G20</f>
        <v>3703.07</v>
      </c>
      <c r="H21" s="36"/>
      <c r="I21" s="37">
        <f>I19*I20</f>
        <v>3418.11</v>
      </c>
      <c r="J21" s="36"/>
      <c r="K21" s="37">
        <f>K19*K20</f>
        <v>4442.24</v>
      </c>
      <c r="L21" s="36"/>
      <c r="M21" s="37">
        <f>M19*M20</f>
        <v>2405.4100000000003</v>
      </c>
      <c r="N21" s="36"/>
      <c r="O21" s="37">
        <f>O19*O20</f>
        <v>4442.24</v>
      </c>
      <c r="P21" s="36"/>
      <c r="Q21" s="37">
        <f>Q19*Q20</f>
        <v>4810.8200000000006</v>
      </c>
      <c r="R21" s="36"/>
      <c r="S21" s="37">
        <f>S19*S20</f>
        <v>4185.18</v>
      </c>
      <c r="T21" s="36"/>
      <c r="U21" s="37">
        <f>U19*U20</f>
        <v>1980</v>
      </c>
      <c r="V21" s="36"/>
      <c r="W21" s="37">
        <f>W19*W20</f>
        <v>4442.24</v>
      </c>
      <c r="X21" s="36"/>
      <c r="Y21" s="37">
        <f>Y19*Y20</f>
        <v>3153.96</v>
      </c>
      <c r="Z21" s="36"/>
      <c r="AA21" s="37">
        <f>AA19*AA20</f>
        <v>4442.24</v>
      </c>
      <c r="AB21" s="36"/>
      <c r="AC21" s="37">
        <f>AC19*AC20</f>
        <v>2669.45</v>
      </c>
      <c r="AMK21" s="33"/>
      <c r="AML21" s="33"/>
    </row>
    <row r="22" spans="1:29 1025:1026" x14ac:dyDescent="0.25">
      <c r="A22" s="78"/>
      <c r="B22" s="78"/>
      <c r="C22" s="80"/>
      <c r="D22" s="78"/>
      <c r="E22" s="80"/>
      <c r="F22" s="78"/>
      <c r="G22" s="80"/>
      <c r="H22" s="78"/>
      <c r="I22" s="80"/>
      <c r="J22" s="78"/>
      <c r="K22" s="80"/>
      <c r="L22" s="78"/>
      <c r="M22" s="80"/>
      <c r="N22" s="78"/>
      <c r="O22" s="80"/>
      <c r="P22" s="78"/>
      <c r="Q22" s="80"/>
      <c r="R22" s="78"/>
      <c r="S22" s="80"/>
      <c r="T22" s="78"/>
      <c r="U22" s="80"/>
      <c r="V22" s="78"/>
      <c r="W22" s="80"/>
      <c r="X22" s="78"/>
      <c r="Y22" s="80"/>
      <c r="Z22" s="78"/>
      <c r="AA22" s="80"/>
      <c r="AB22" s="78"/>
      <c r="AC22" s="80"/>
      <c r="AMK22" s="33"/>
      <c r="AML22" s="33"/>
    </row>
    <row r="23" spans="1:29 1025:1026" x14ac:dyDescent="0.25">
      <c r="A23" s="87" t="s">
        <v>202</v>
      </c>
      <c r="B23" s="78"/>
      <c r="C23" s="80"/>
      <c r="D23" s="78"/>
      <c r="E23" s="80"/>
      <c r="F23" s="78"/>
      <c r="G23" s="80"/>
      <c r="H23" s="78"/>
      <c r="I23" s="80"/>
      <c r="J23" s="78"/>
      <c r="K23" s="80"/>
      <c r="L23" s="78"/>
      <c r="M23" s="80"/>
      <c r="N23" s="78"/>
      <c r="O23" s="80"/>
      <c r="P23" s="78"/>
      <c r="Q23" s="80"/>
      <c r="R23" s="78"/>
      <c r="S23" s="80"/>
      <c r="T23" s="78"/>
      <c r="U23" s="80"/>
      <c r="V23" s="78"/>
      <c r="W23" s="80"/>
      <c r="X23" s="78"/>
      <c r="Y23" s="80"/>
      <c r="Z23" s="78"/>
      <c r="AA23" s="80"/>
      <c r="AB23" s="78"/>
      <c r="AC23" s="80"/>
      <c r="AMK23" s="33"/>
      <c r="AML23" s="33"/>
    </row>
    <row r="24" spans="1:29 1025:1026" ht="89.25" customHeight="1" x14ac:dyDescent="0.25">
      <c r="A24" s="62" t="s">
        <v>139</v>
      </c>
      <c r="B24" s="119" t="str">
        <f>engeletr!A13</f>
        <v>Engenheiro Eletricista (Supervisor)</v>
      </c>
      <c r="C24" s="120"/>
      <c r="D24" s="119" t="str">
        <f>encrefig!A13</f>
        <v>Encarregado - Refrigeração</v>
      </c>
      <c r="E24" s="120"/>
      <c r="F24" s="119" t="str">
        <f>enceletr!A13</f>
        <v xml:space="preserve">Encarregado - Elétrica </v>
      </c>
      <c r="G24" s="120"/>
      <c r="H24" s="119" t="str">
        <f>enccivil!A13</f>
        <v>Encarregado - Civil</v>
      </c>
      <c r="I24" s="120"/>
      <c r="J24" s="119" t="str">
        <f>tectele!A13</f>
        <v>Técnico em Redes e Telecomunicações</v>
      </c>
      <c r="K24" s="120"/>
      <c r="L24" s="119" t="str">
        <f>teceletro!A13</f>
        <v>Técnico em Eletromecânica</v>
      </c>
      <c r="M24" s="120"/>
      <c r="N24" s="119" t="str">
        <f>tecrefrig!A13</f>
        <v>Técnico em Refrigeração</v>
      </c>
      <c r="O24" s="120"/>
      <c r="P24" s="119" t="str">
        <f>eletric!A13</f>
        <v>Eletricista</v>
      </c>
      <c r="Q24" s="120"/>
      <c r="R24" s="119" t="str">
        <f>ajmontD!A13</f>
        <v>Ajudante de Montagem e Manutenção (Servente Prático) - diurno</v>
      </c>
      <c r="S24" s="120"/>
      <c r="T24" s="119" t="str">
        <f>ajmontN!A13</f>
        <v>Ajudante de Montagem e Manutenção (Servente Prático) - noturno</v>
      </c>
      <c r="U24" s="120"/>
      <c r="V24" s="119" t="str">
        <f>auxcivil!A13</f>
        <v xml:space="preserve">Auxiliar Técnico – Civil (pequenas obras e adequações prediais) </v>
      </c>
      <c r="W24" s="120"/>
      <c r="X24" s="119" t="str">
        <f>pintorN!A13</f>
        <v>Pintor Industrial (Estruturas Metálicas) - noturno</v>
      </c>
      <c r="Y24" s="120"/>
      <c r="Z24" s="119" t="str">
        <f>auxtelha!A13</f>
        <v>Auxiliar Técnico – Telhadista</v>
      </c>
      <c r="AA24" s="120"/>
      <c r="AB24" s="119" t="str">
        <f>tecseg!A13</f>
        <v xml:space="preserve">Técnico de Segurança no Trabalho Pleno </v>
      </c>
      <c r="AC24" s="120"/>
      <c r="AMK24" s="33"/>
      <c r="AML24" s="33"/>
    </row>
    <row r="25" spans="1:29 1025:1026" x14ac:dyDescent="0.25">
      <c r="A25" s="35" t="s">
        <v>203</v>
      </c>
      <c r="B25" s="36"/>
      <c r="C25" s="37">
        <v>4.9000000000000004</v>
      </c>
      <c r="D25" s="36"/>
      <c r="E25" s="37">
        <v>4.9000000000000004</v>
      </c>
      <c r="F25" s="36"/>
      <c r="G25" s="37">
        <v>4.9000000000000004</v>
      </c>
      <c r="H25" s="36"/>
      <c r="I25" s="37">
        <v>4.9000000000000004</v>
      </c>
      <c r="J25" s="36"/>
      <c r="K25" s="37">
        <v>4.9000000000000004</v>
      </c>
      <c r="L25" s="36"/>
      <c r="M25" s="37">
        <v>4.9000000000000004</v>
      </c>
      <c r="N25" s="36"/>
      <c r="O25" s="37">
        <v>4.9000000000000004</v>
      </c>
      <c r="P25" s="36"/>
      <c r="Q25" s="37">
        <v>4.9000000000000004</v>
      </c>
      <c r="R25" s="36"/>
      <c r="S25" s="37">
        <v>4.9000000000000004</v>
      </c>
      <c r="T25" s="36"/>
      <c r="U25" s="37">
        <v>4.9000000000000004</v>
      </c>
      <c r="V25" s="36"/>
      <c r="W25" s="37">
        <v>4.9000000000000004</v>
      </c>
      <c r="X25" s="36"/>
      <c r="Y25" s="37">
        <v>4.9000000000000004</v>
      </c>
      <c r="Z25" s="36"/>
      <c r="AA25" s="37">
        <v>4.9000000000000004</v>
      </c>
      <c r="AB25" s="36"/>
      <c r="AC25" s="37">
        <v>4.9000000000000004</v>
      </c>
      <c r="AMK25" s="33"/>
      <c r="AML25" s="33"/>
    </row>
    <row r="26" spans="1:29 1025:1026" x14ac:dyDescent="0.25">
      <c r="A26" s="35" t="s">
        <v>204</v>
      </c>
      <c r="B26" s="82">
        <v>0</v>
      </c>
      <c r="C26" s="39">
        <f>C25*B26</f>
        <v>0</v>
      </c>
      <c r="D26" s="82">
        <v>2</v>
      </c>
      <c r="E26" s="39">
        <f t="shared" ref="E26" si="0">E25*D26</f>
        <v>9.8000000000000007</v>
      </c>
      <c r="F26" s="82">
        <v>2</v>
      </c>
      <c r="G26" s="39">
        <f t="shared" ref="G26" si="1">G25*F26</f>
        <v>9.8000000000000007</v>
      </c>
      <c r="H26" s="82">
        <v>2</v>
      </c>
      <c r="I26" s="39">
        <f t="shared" ref="I26" si="2">I25*H26</f>
        <v>9.8000000000000007</v>
      </c>
      <c r="J26" s="82">
        <v>2</v>
      </c>
      <c r="K26" s="39">
        <f t="shared" ref="K26" si="3">K25*J26</f>
        <v>9.8000000000000007</v>
      </c>
      <c r="L26" s="82">
        <v>2</v>
      </c>
      <c r="M26" s="39">
        <f t="shared" ref="M26" si="4">M25*L26</f>
        <v>9.8000000000000007</v>
      </c>
      <c r="N26" s="82">
        <v>2</v>
      </c>
      <c r="O26" s="39">
        <f t="shared" ref="O26" si="5">O25*N26</f>
        <v>9.8000000000000007</v>
      </c>
      <c r="P26" s="82">
        <v>2</v>
      </c>
      <c r="Q26" s="39">
        <f t="shared" ref="Q26" si="6">Q25*P26</f>
        <v>9.8000000000000007</v>
      </c>
      <c r="R26" s="82">
        <v>2</v>
      </c>
      <c r="S26" s="39">
        <f t="shared" ref="S26" si="7">S25*R26</f>
        <v>9.8000000000000007</v>
      </c>
      <c r="T26" s="82">
        <v>2</v>
      </c>
      <c r="U26" s="39">
        <f t="shared" ref="U26" si="8">U25*T26</f>
        <v>9.8000000000000007</v>
      </c>
      <c r="V26" s="82">
        <v>2</v>
      </c>
      <c r="W26" s="39">
        <f t="shared" ref="W26" si="9">W25*V26</f>
        <v>9.8000000000000007</v>
      </c>
      <c r="X26" s="82">
        <v>2</v>
      </c>
      <c r="Y26" s="39">
        <f t="shared" ref="Y26" si="10">Y25*X26</f>
        <v>9.8000000000000007</v>
      </c>
      <c r="Z26" s="82">
        <v>2</v>
      </c>
      <c r="AA26" s="39">
        <f t="shared" ref="AA26" si="11">AA25*Z26</f>
        <v>9.8000000000000007</v>
      </c>
      <c r="AB26" s="82">
        <v>2</v>
      </c>
      <c r="AC26" s="39">
        <f t="shared" ref="AC26" si="12">AC25*AB26</f>
        <v>9.8000000000000007</v>
      </c>
      <c r="AMK26" s="33"/>
      <c r="AML26" s="33"/>
    </row>
    <row r="27" spans="1:29 1025:1026" x14ac:dyDescent="0.25">
      <c r="A27" s="35" t="s">
        <v>200</v>
      </c>
      <c r="B27" s="81">
        <f>engeletr!C143</f>
        <v>0.21840000000000001</v>
      </c>
      <c r="C27" s="39">
        <f>TRUNC((C26)*B27,2)</f>
        <v>0</v>
      </c>
      <c r="D27" s="81">
        <f>encrefig!C143</f>
        <v>0.21840000000000001</v>
      </c>
      <c r="E27" s="39">
        <f>TRUNC((E26)*D27,2)</f>
        <v>2.14</v>
      </c>
      <c r="F27" s="81">
        <f>enceletr!C143</f>
        <v>0.21840000000000001</v>
      </c>
      <c r="G27" s="39">
        <f>TRUNC((G26)*F27,2)</f>
        <v>2.14</v>
      </c>
      <c r="H27" s="81">
        <f>enccivil!C143</f>
        <v>0.21840000000000001</v>
      </c>
      <c r="I27" s="39">
        <f>TRUNC((I26)*H27,2)</f>
        <v>2.14</v>
      </c>
      <c r="J27" s="81">
        <f>tectele!C143</f>
        <v>0.21840000000000001</v>
      </c>
      <c r="K27" s="39">
        <f>TRUNC((K26)*J27,2)</f>
        <v>2.14</v>
      </c>
      <c r="L27" s="81">
        <f>teceletro!C143</f>
        <v>0.21840000000000001</v>
      </c>
      <c r="M27" s="39">
        <f>TRUNC((M26)*L27,2)</f>
        <v>2.14</v>
      </c>
      <c r="N27" s="81">
        <f>tecrefrig!C143</f>
        <v>0.21840000000000001</v>
      </c>
      <c r="O27" s="39">
        <f>TRUNC((O26)*N27,2)</f>
        <v>2.14</v>
      </c>
      <c r="P27" s="81">
        <f>eletric!C143</f>
        <v>0.21840000000000001</v>
      </c>
      <c r="Q27" s="39">
        <f>TRUNC((Q26)*P27,2)</f>
        <v>2.14</v>
      </c>
      <c r="R27" s="81">
        <f>ajmontD!C143</f>
        <v>0.21840000000000001</v>
      </c>
      <c r="S27" s="39">
        <f>TRUNC((S26)*R27,2)</f>
        <v>2.14</v>
      </c>
      <c r="T27" s="81">
        <f>ajmontN!C143</f>
        <v>0.21840000000000001</v>
      </c>
      <c r="U27" s="39">
        <f>TRUNC((U26)*T27,2)</f>
        <v>2.14</v>
      </c>
      <c r="V27" s="81">
        <f>auxcivil!C143</f>
        <v>0.21840000000000001</v>
      </c>
      <c r="W27" s="39">
        <f>TRUNC((W26)*V27,2)</f>
        <v>2.14</v>
      </c>
      <c r="X27" s="81">
        <f>pintorN!C143</f>
        <v>0.21840000000000001</v>
      </c>
      <c r="Y27" s="39">
        <f>TRUNC((Y26)*X27,2)</f>
        <v>2.14</v>
      </c>
      <c r="Z27" s="81">
        <f>auxtelha!C143</f>
        <v>0.21840000000000001</v>
      </c>
      <c r="AA27" s="39">
        <f>TRUNC((AA26)*Z27,2)</f>
        <v>2.14</v>
      </c>
      <c r="AB27" s="81">
        <f>tecseg!C143</f>
        <v>0.21840000000000001</v>
      </c>
      <c r="AC27" s="39">
        <f>TRUNC((AC26)*AB27,2)</f>
        <v>2.14</v>
      </c>
      <c r="AMK27" s="33"/>
      <c r="AML27" s="33"/>
    </row>
    <row r="28" spans="1:29 1025:1026" x14ac:dyDescent="0.25">
      <c r="A28" s="35" t="s">
        <v>142</v>
      </c>
      <c r="B28" s="35"/>
      <c r="C28" s="39">
        <f>SUM(C26:C27)</f>
        <v>0</v>
      </c>
      <c r="D28" s="35"/>
      <c r="E28" s="39">
        <f t="shared" ref="E28" si="13">SUM(E26:E27)</f>
        <v>11.940000000000001</v>
      </c>
      <c r="F28" s="35"/>
      <c r="G28" s="39">
        <f t="shared" ref="G28" si="14">SUM(G26:G27)</f>
        <v>11.940000000000001</v>
      </c>
      <c r="H28" s="35"/>
      <c r="I28" s="39">
        <f t="shared" ref="I28" si="15">SUM(I26:I27)</f>
        <v>11.940000000000001</v>
      </c>
      <c r="J28" s="35"/>
      <c r="K28" s="39">
        <f t="shared" ref="K28" si="16">SUM(K26:K27)</f>
        <v>11.940000000000001</v>
      </c>
      <c r="L28" s="35"/>
      <c r="M28" s="39">
        <f t="shared" ref="M28" si="17">SUM(M26:M27)</f>
        <v>11.940000000000001</v>
      </c>
      <c r="N28" s="35"/>
      <c r="O28" s="39">
        <f t="shared" ref="O28" si="18">SUM(O26:O27)</f>
        <v>11.940000000000001</v>
      </c>
      <c r="P28" s="35"/>
      <c r="Q28" s="39">
        <f t="shared" ref="Q28" si="19">SUM(Q26:Q27)</f>
        <v>11.940000000000001</v>
      </c>
      <c r="R28" s="35"/>
      <c r="S28" s="39">
        <f t="shared" ref="S28" si="20">SUM(S26:S27)</f>
        <v>11.940000000000001</v>
      </c>
      <c r="T28" s="35"/>
      <c r="U28" s="39">
        <f t="shared" ref="U28" si="21">SUM(U26:U27)</f>
        <v>11.940000000000001</v>
      </c>
      <c r="V28" s="35"/>
      <c r="W28" s="39">
        <f t="shared" ref="W28" si="22">SUM(W26:W27)</f>
        <v>11.940000000000001</v>
      </c>
      <c r="X28" s="35"/>
      <c r="Y28" s="39">
        <f t="shared" ref="Y28" si="23">SUM(Y26:Y27)</f>
        <v>11.940000000000001</v>
      </c>
      <c r="Z28" s="35"/>
      <c r="AA28" s="39">
        <f t="shared" ref="AA28" si="24">SUM(AA26:AA27)</f>
        <v>11.940000000000001</v>
      </c>
      <c r="AB28" s="35"/>
      <c r="AC28" s="39">
        <f t="shared" ref="AC28" si="25">SUM(AC26:AC27)</f>
        <v>11.940000000000001</v>
      </c>
      <c r="AMK28" s="33"/>
      <c r="AML28" s="33"/>
    </row>
    <row r="29" spans="1:29 1025:1026" x14ac:dyDescent="0.25">
      <c r="A29" s="35" t="s">
        <v>213</v>
      </c>
      <c r="B29" s="82">
        <v>0</v>
      </c>
      <c r="C29" s="39">
        <f>C28*B29</f>
        <v>0</v>
      </c>
      <c r="D29" s="82">
        <v>0</v>
      </c>
      <c r="E29" s="39">
        <f t="shared" ref="E29" si="26">E28*D29</f>
        <v>0</v>
      </c>
      <c r="F29" s="82">
        <v>0</v>
      </c>
      <c r="G29" s="39">
        <f t="shared" ref="G29" si="27">G28*F29</f>
        <v>0</v>
      </c>
      <c r="H29" s="82">
        <v>0</v>
      </c>
      <c r="I29" s="39">
        <f t="shared" ref="I29" si="28">I28*H29</f>
        <v>0</v>
      </c>
      <c r="J29" s="82">
        <v>0</v>
      </c>
      <c r="K29" s="39">
        <f t="shared" ref="K29" si="29">K28*J29</f>
        <v>0</v>
      </c>
      <c r="L29" s="82">
        <v>0</v>
      </c>
      <c r="M29" s="39">
        <f t="shared" ref="M29" si="30">M28*L29</f>
        <v>0</v>
      </c>
      <c r="N29" s="82">
        <v>0</v>
      </c>
      <c r="O29" s="39">
        <f t="shared" ref="O29" si="31">O28*N29</f>
        <v>0</v>
      </c>
      <c r="P29" s="82">
        <v>0</v>
      </c>
      <c r="Q29" s="39">
        <f t="shared" ref="Q29" si="32">Q28*P29</f>
        <v>0</v>
      </c>
      <c r="R29" s="82">
        <v>0</v>
      </c>
      <c r="S29" s="39">
        <f t="shared" ref="S29" si="33">S28*R29</f>
        <v>0</v>
      </c>
      <c r="T29" s="82">
        <v>0</v>
      </c>
      <c r="U29" s="39">
        <f t="shared" ref="U29" si="34">U28*T29</f>
        <v>0</v>
      </c>
      <c r="V29" s="82">
        <v>0</v>
      </c>
      <c r="W29" s="39">
        <f t="shared" ref="W29" si="35">W28*V29</f>
        <v>0</v>
      </c>
      <c r="X29" s="82">
        <v>0</v>
      </c>
      <c r="Y29" s="39">
        <f t="shared" ref="Y29" si="36">Y28*X29</f>
        <v>0</v>
      </c>
      <c r="Z29" s="82">
        <v>0</v>
      </c>
      <c r="AA29" s="39">
        <f t="shared" ref="AA29" si="37">AA28*Z29</f>
        <v>0</v>
      </c>
      <c r="AB29" s="82">
        <v>0</v>
      </c>
      <c r="AC29" s="39">
        <f t="shared" ref="AC29" si="38">AC28*AB29</f>
        <v>0</v>
      </c>
      <c r="AMK29" s="33"/>
      <c r="AML29" s="33"/>
    </row>
    <row r="30" spans="1:29 1025:1026" x14ac:dyDescent="0.25">
      <c r="A30" s="35" t="s">
        <v>206</v>
      </c>
      <c r="B30" s="82">
        <f>ROUNDUP(B18/8,0)</f>
        <v>3</v>
      </c>
      <c r="C30" s="39">
        <f>C28*B30</f>
        <v>0</v>
      </c>
      <c r="D30" s="82">
        <f t="shared" ref="D30" si="39">ROUNDUP(D18/8,0)</f>
        <v>3</v>
      </c>
      <c r="E30" s="39">
        <f>E28*D30</f>
        <v>35.820000000000007</v>
      </c>
      <c r="F30" s="82">
        <f t="shared" ref="F30" si="40">ROUNDUP(F18/8,0)</f>
        <v>3</v>
      </c>
      <c r="G30" s="39">
        <f>G28*F30</f>
        <v>35.820000000000007</v>
      </c>
      <c r="H30" s="82">
        <f t="shared" ref="H30" si="41">ROUNDUP(H18/8,0)</f>
        <v>3</v>
      </c>
      <c r="I30" s="39">
        <f>I28*H30</f>
        <v>35.820000000000007</v>
      </c>
      <c r="J30" s="82">
        <f t="shared" ref="J30" si="42">ROUNDUP(J18/8,0)</f>
        <v>3</v>
      </c>
      <c r="K30" s="39">
        <f>K28*J30</f>
        <v>35.820000000000007</v>
      </c>
      <c r="L30" s="82">
        <f t="shared" ref="L30" si="43">ROUNDUP(L18/8,0)</f>
        <v>3</v>
      </c>
      <c r="M30" s="39">
        <f>M28*L30</f>
        <v>35.820000000000007</v>
      </c>
      <c r="N30" s="82">
        <f t="shared" ref="N30" si="44">ROUNDUP(N18/8,0)</f>
        <v>3</v>
      </c>
      <c r="O30" s="39">
        <f>O28*N30</f>
        <v>35.820000000000007</v>
      </c>
      <c r="P30" s="82">
        <f t="shared" ref="P30" si="45">ROUNDUP(P18/8,0)</f>
        <v>3</v>
      </c>
      <c r="Q30" s="39">
        <f>Q28*P30</f>
        <v>35.820000000000007</v>
      </c>
      <c r="R30" s="82">
        <f t="shared" ref="R30" si="46">ROUNDUP(R18/8,0)</f>
        <v>3</v>
      </c>
      <c r="S30" s="39">
        <f>S28*R30</f>
        <v>35.820000000000007</v>
      </c>
      <c r="T30" s="82">
        <f t="shared" ref="T30" si="47">ROUNDUP(T18/8,0)</f>
        <v>3</v>
      </c>
      <c r="U30" s="39">
        <f>U28*T30</f>
        <v>35.820000000000007</v>
      </c>
      <c r="V30" s="82">
        <f t="shared" ref="V30" si="48">ROUNDUP(V18/8,0)</f>
        <v>3</v>
      </c>
      <c r="W30" s="39">
        <f>W28*V30</f>
        <v>35.820000000000007</v>
      </c>
      <c r="X30" s="82">
        <f t="shared" ref="X30" si="49">ROUNDUP(X18/8,0)</f>
        <v>3</v>
      </c>
      <c r="Y30" s="39">
        <f>Y28*X30</f>
        <v>35.820000000000007</v>
      </c>
      <c r="Z30" s="82">
        <f t="shared" ref="Z30" si="50">ROUNDUP(Z18/8,0)</f>
        <v>3</v>
      </c>
      <c r="AA30" s="39">
        <f>AA28*Z30</f>
        <v>35.820000000000007</v>
      </c>
      <c r="AB30" s="82">
        <f t="shared" ref="AB30" si="51">ROUNDUP(AB18/8,0)</f>
        <v>3</v>
      </c>
      <c r="AC30" s="39">
        <f>AC28*AB30</f>
        <v>35.820000000000007</v>
      </c>
      <c r="AMK30" s="33"/>
      <c r="AML30" s="33"/>
    </row>
    <row r="31" spans="1:29 1025:1026" x14ac:dyDescent="0.25">
      <c r="A31" s="35" t="s">
        <v>212</v>
      </c>
      <c r="B31" s="83"/>
      <c r="C31" s="37">
        <f>SUM(C29:C30)</f>
        <v>0</v>
      </c>
      <c r="D31" s="83"/>
      <c r="E31" s="37">
        <f t="shared" ref="E31" si="52">SUM(E29:E30)</f>
        <v>35.820000000000007</v>
      </c>
      <c r="F31" s="83"/>
      <c r="G31" s="37">
        <f t="shared" ref="G31" si="53">SUM(G29:G30)</f>
        <v>35.820000000000007</v>
      </c>
      <c r="H31" s="83"/>
      <c r="I31" s="37">
        <f t="shared" ref="I31" si="54">SUM(I29:I30)</f>
        <v>35.820000000000007</v>
      </c>
      <c r="J31" s="83"/>
      <c r="K31" s="37">
        <f t="shared" ref="K31" si="55">SUM(K29:K30)</f>
        <v>35.820000000000007</v>
      </c>
      <c r="L31" s="83"/>
      <c r="M31" s="37">
        <f t="shared" ref="M31" si="56">SUM(M29:M30)</f>
        <v>35.820000000000007</v>
      </c>
      <c r="N31" s="83"/>
      <c r="O31" s="37">
        <f t="shared" ref="O31" si="57">SUM(O29:O30)</f>
        <v>35.820000000000007</v>
      </c>
      <c r="P31" s="83"/>
      <c r="Q31" s="37">
        <f t="shared" ref="Q31" si="58">SUM(Q29:Q30)</f>
        <v>35.820000000000007</v>
      </c>
      <c r="R31" s="83"/>
      <c r="S31" s="37">
        <f t="shared" ref="S31" si="59">SUM(S29:S30)</f>
        <v>35.820000000000007</v>
      </c>
      <c r="T31" s="83"/>
      <c r="U31" s="37">
        <f t="shared" ref="U31" si="60">SUM(U29:U30)</f>
        <v>35.820000000000007</v>
      </c>
      <c r="V31" s="83"/>
      <c r="W31" s="37">
        <f t="shared" ref="W31" si="61">SUM(W29:W30)</f>
        <v>35.820000000000007</v>
      </c>
      <c r="X31" s="83"/>
      <c r="Y31" s="37">
        <f t="shared" ref="Y31" si="62">SUM(Y29:Y30)</f>
        <v>35.820000000000007</v>
      </c>
      <c r="Z31" s="83"/>
      <c r="AA31" s="37">
        <f t="shared" ref="AA31" si="63">SUM(AA29:AA30)</f>
        <v>35.820000000000007</v>
      </c>
      <c r="AB31" s="83"/>
      <c r="AC31" s="37">
        <f t="shared" ref="AC31" si="64">SUM(AC29:AC30)</f>
        <v>35.820000000000007</v>
      </c>
      <c r="AMK31" s="33"/>
      <c r="AML31" s="33"/>
    </row>
    <row r="32" spans="1:29 1025:1026" x14ac:dyDescent="0.25">
      <c r="A32" s="35" t="s">
        <v>205</v>
      </c>
      <c r="B32" s="82"/>
      <c r="C32" s="39">
        <f>C31*C20</f>
        <v>0</v>
      </c>
      <c r="D32" s="82"/>
      <c r="E32" s="39">
        <f t="shared" ref="E32" si="65">E31*E20</f>
        <v>35.820000000000007</v>
      </c>
      <c r="F32" s="82"/>
      <c r="G32" s="39">
        <f t="shared" ref="G32" si="66">G31*G20</f>
        <v>35.820000000000007</v>
      </c>
      <c r="H32" s="82"/>
      <c r="I32" s="39">
        <f t="shared" ref="I32" si="67">I31*I20</f>
        <v>35.820000000000007</v>
      </c>
      <c r="J32" s="82"/>
      <c r="K32" s="39">
        <f t="shared" ref="K32" si="68">K31*K20</f>
        <v>71.640000000000015</v>
      </c>
      <c r="L32" s="82"/>
      <c r="M32" s="39">
        <f t="shared" ref="M32" si="69">M31*M20</f>
        <v>35.820000000000007</v>
      </c>
      <c r="N32" s="82"/>
      <c r="O32" s="39">
        <f t="shared" ref="O32" si="70">O31*O20</f>
        <v>71.640000000000015</v>
      </c>
      <c r="P32" s="82"/>
      <c r="Q32" s="39">
        <f t="shared" ref="Q32" si="71">Q31*Q20</f>
        <v>71.640000000000015</v>
      </c>
      <c r="R32" s="82"/>
      <c r="S32" s="39">
        <f t="shared" ref="S32" si="72">S31*S20</f>
        <v>107.46000000000002</v>
      </c>
      <c r="T32" s="82"/>
      <c r="U32" s="39">
        <f t="shared" ref="U32" si="73">U31*U20</f>
        <v>35.820000000000007</v>
      </c>
      <c r="V32" s="82"/>
      <c r="W32" s="39">
        <f t="shared" ref="W32" si="74">W31*W20</f>
        <v>71.640000000000015</v>
      </c>
      <c r="X32" s="82"/>
      <c r="Y32" s="39">
        <f t="shared" ref="Y32" si="75">Y31*Y20</f>
        <v>35.820000000000007</v>
      </c>
      <c r="Z32" s="82"/>
      <c r="AA32" s="39">
        <f t="shared" ref="AA32" si="76">AA31*AA20</f>
        <v>71.640000000000015</v>
      </c>
      <c r="AB32" s="82"/>
      <c r="AC32" s="39">
        <f t="shared" ref="AC32" si="77">AC31*AC20</f>
        <v>35.820000000000007</v>
      </c>
    </row>
    <row r="33" spans="1:29" x14ac:dyDescent="0.25">
      <c r="A33" s="78"/>
      <c r="B33" s="84"/>
      <c r="C33" s="80"/>
      <c r="D33" s="84"/>
      <c r="E33" s="80"/>
      <c r="F33" s="84"/>
      <c r="G33" s="80"/>
      <c r="H33" s="84"/>
      <c r="I33" s="80"/>
      <c r="J33" s="84"/>
      <c r="K33" s="80"/>
      <c r="L33" s="84"/>
      <c r="M33" s="80"/>
      <c r="N33" s="84"/>
      <c r="O33" s="80"/>
      <c r="P33" s="84"/>
      <c r="Q33" s="80"/>
      <c r="R33" s="84"/>
      <c r="S33" s="80"/>
      <c r="T33" s="84"/>
      <c r="U33" s="80"/>
      <c r="V33" s="84"/>
      <c r="W33" s="80"/>
      <c r="X33" s="84"/>
      <c r="Y33" s="80"/>
      <c r="Z33" s="84"/>
      <c r="AA33" s="80"/>
      <c r="AB33" s="84"/>
      <c r="AC33" s="80"/>
    </row>
    <row r="34" spans="1:29" x14ac:dyDescent="0.25">
      <c r="A34" s="87" t="s">
        <v>207</v>
      </c>
      <c r="B34" s="84"/>
      <c r="C34" s="80"/>
      <c r="D34" s="84"/>
      <c r="E34" s="80"/>
      <c r="F34" s="84"/>
      <c r="G34" s="80"/>
      <c r="H34" s="84"/>
      <c r="I34" s="80"/>
      <c r="J34" s="84"/>
      <c r="K34" s="80"/>
      <c r="L34" s="84"/>
      <c r="M34" s="80"/>
      <c r="N34" s="84"/>
      <c r="O34" s="80"/>
      <c r="P34" s="84"/>
      <c r="Q34" s="80"/>
      <c r="R34" s="84"/>
      <c r="S34" s="80"/>
      <c r="T34" s="84"/>
      <c r="U34" s="80"/>
      <c r="V34" s="84"/>
      <c r="W34" s="80"/>
      <c r="X34" s="84"/>
      <c r="Y34" s="80"/>
      <c r="Z34" s="84"/>
      <c r="AA34" s="80"/>
      <c r="AB34" s="84"/>
      <c r="AC34" s="80"/>
    </row>
    <row r="35" spans="1:29" ht="89.25" customHeight="1" x14ac:dyDescent="0.25">
      <c r="A35" s="62" t="s">
        <v>139</v>
      </c>
      <c r="B35" s="119" t="str">
        <f>engeletr!A13</f>
        <v>Engenheiro Eletricista (Supervisor)</v>
      </c>
      <c r="C35" s="120"/>
      <c r="D35" s="119" t="str">
        <f>encrefig!A13</f>
        <v>Encarregado - Refrigeração</v>
      </c>
      <c r="E35" s="120"/>
      <c r="F35" s="119" t="str">
        <f>enceletr!A13</f>
        <v xml:space="preserve">Encarregado - Elétrica </v>
      </c>
      <c r="G35" s="120"/>
      <c r="H35" s="119" t="str">
        <f>enccivil!A13</f>
        <v>Encarregado - Civil</v>
      </c>
      <c r="I35" s="120"/>
      <c r="J35" s="119" t="str">
        <f>tectele!A13</f>
        <v>Técnico em Redes e Telecomunicações</v>
      </c>
      <c r="K35" s="120"/>
      <c r="L35" s="119" t="str">
        <f>teceletro!A13</f>
        <v>Técnico em Eletromecânica</v>
      </c>
      <c r="M35" s="120"/>
      <c r="N35" s="119" t="str">
        <f>tecrefrig!A13</f>
        <v>Técnico em Refrigeração</v>
      </c>
      <c r="O35" s="120"/>
      <c r="P35" s="119" t="str">
        <f>eletric!A13</f>
        <v>Eletricista</v>
      </c>
      <c r="Q35" s="120"/>
      <c r="R35" s="119" t="str">
        <f>ajmontD!A13</f>
        <v>Ajudante de Montagem e Manutenção (Servente Prático) - diurno</v>
      </c>
      <c r="S35" s="120"/>
      <c r="T35" s="119" t="str">
        <f>ajmontN!A13</f>
        <v>Ajudante de Montagem e Manutenção (Servente Prático) - noturno</v>
      </c>
      <c r="U35" s="120"/>
      <c r="V35" s="119" t="str">
        <f>auxcivil!A13</f>
        <v xml:space="preserve">Auxiliar Técnico – Civil (pequenas obras e adequações prediais) </v>
      </c>
      <c r="W35" s="120"/>
      <c r="X35" s="119" t="str">
        <f>pintorN!A13</f>
        <v>Pintor Industrial (Estruturas Metálicas) - noturno</v>
      </c>
      <c r="Y35" s="120"/>
      <c r="Z35" s="119" t="str">
        <f>auxtelha!A13</f>
        <v>Auxiliar Técnico – Telhadista</v>
      </c>
      <c r="AA35" s="120"/>
      <c r="AB35" s="119" t="str">
        <f>tecseg!A13</f>
        <v xml:space="preserve">Técnico de Segurança no Trabalho Pleno </v>
      </c>
      <c r="AC35" s="120"/>
    </row>
    <row r="36" spans="1:29" x14ac:dyDescent="0.25">
      <c r="A36" s="35" t="s">
        <v>208</v>
      </c>
      <c r="B36" s="83"/>
      <c r="C36" s="37">
        <v>0</v>
      </c>
      <c r="D36" s="83"/>
      <c r="E36" s="37">
        <f>20.49*0.95</f>
        <v>19.465499999999999</v>
      </c>
      <c r="F36" s="83"/>
      <c r="G36" s="37">
        <f>20.49*0.95</f>
        <v>19.465499999999999</v>
      </c>
      <c r="H36" s="83"/>
      <c r="I36" s="37">
        <f t="shared" ref="I36" si="78">20.49*0.95</f>
        <v>19.465499999999999</v>
      </c>
      <c r="J36" s="83"/>
      <c r="K36" s="37">
        <f t="shared" ref="K36" si="79">20.49*0.95</f>
        <v>19.465499999999999</v>
      </c>
      <c r="L36" s="83"/>
      <c r="M36" s="37">
        <f t="shared" ref="M36" si="80">20.49*0.95</f>
        <v>19.465499999999999</v>
      </c>
      <c r="N36" s="83"/>
      <c r="O36" s="37">
        <f t="shared" ref="O36" si="81">20.49*0.95</f>
        <v>19.465499999999999</v>
      </c>
      <c r="P36" s="83"/>
      <c r="Q36" s="37">
        <f t="shared" ref="Q36" si="82">20.49*0.95</f>
        <v>19.465499999999999</v>
      </c>
      <c r="R36" s="83"/>
      <c r="S36" s="37">
        <f t="shared" ref="S36" si="83">20.49*0.95</f>
        <v>19.465499999999999</v>
      </c>
      <c r="T36" s="83"/>
      <c r="U36" s="37">
        <f t="shared" ref="U36" si="84">20.49*0.95</f>
        <v>19.465499999999999</v>
      </c>
      <c r="V36" s="83"/>
      <c r="W36" s="37">
        <f t="shared" ref="W36" si="85">20.49*0.95</f>
        <v>19.465499999999999</v>
      </c>
      <c r="X36" s="83"/>
      <c r="Y36" s="37">
        <f t="shared" ref="Y36" si="86">20.49*0.95</f>
        <v>19.465499999999999</v>
      </c>
      <c r="Z36" s="83"/>
      <c r="AA36" s="37">
        <f t="shared" ref="AA36" si="87">20.49*0.95</f>
        <v>19.465499999999999</v>
      </c>
      <c r="AB36" s="83"/>
      <c r="AC36" s="37">
        <v>0</v>
      </c>
    </row>
    <row r="37" spans="1:29" x14ac:dyDescent="0.25">
      <c r="A37" s="35" t="s">
        <v>200</v>
      </c>
      <c r="B37" s="81">
        <f>engeletr!C143</f>
        <v>0.21840000000000001</v>
      </c>
      <c r="C37" s="39">
        <f>TRUNC((C36)*B37,2)</f>
        <v>0</v>
      </c>
      <c r="D37" s="81">
        <f>encrefig!C143</f>
        <v>0.21840000000000001</v>
      </c>
      <c r="E37" s="39">
        <f>TRUNC((E36)*D37,2)</f>
        <v>4.25</v>
      </c>
      <c r="F37" s="81">
        <f>enceletr!C143</f>
        <v>0.21840000000000001</v>
      </c>
      <c r="G37" s="39">
        <f>TRUNC((G36)*F37,2)</f>
        <v>4.25</v>
      </c>
      <c r="H37" s="81">
        <f>enccivil!C143</f>
        <v>0.21840000000000001</v>
      </c>
      <c r="I37" s="39">
        <f>TRUNC((I36)*H37,2)</f>
        <v>4.25</v>
      </c>
      <c r="J37" s="81">
        <f>tectele!C143</f>
        <v>0.21840000000000001</v>
      </c>
      <c r="K37" s="39">
        <f>TRUNC((K36)*J37,2)</f>
        <v>4.25</v>
      </c>
      <c r="L37" s="81">
        <f>teceletro!C143</f>
        <v>0.21840000000000001</v>
      </c>
      <c r="M37" s="39">
        <f>TRUNC((M36)*L37,2)</f>
        <v>4.25</v>
      </c>
      <c r="N37" s="81">
        <f>tecrefrig!C143</f>
        <v>0.21840000000000001</v>
      </c>
      <c r="O37" s="39">
        <f>TRUNC((O36)*N37,2)</f>
        <v>4.25</v>
      </c>
      <c r="P37" s="81">
        <f>eletric!C143</f>
        <v>0.21840000000000001</v>
      </c>
      <c r="Q37" s="39">
        <f>TRUNC((Q36)*P37,2)</f>
        <v>4.25</v>
      </c>
      <c r="R37" s="81">
        <f>ajmontD!C143</f>
        <v>0.21840000000000001</v>
      </c>
      <c r="S37" s="39">
        <f>TRUNC((S36)*R37,2)</f>
        <v>4.25</v>
      </c>
      <c r="T37" s="81">
        <f>ajmontN!C143</f>
        <v>0.21840000000000001</v>
      </c>
      <c r="U37" s="39">
        <f>TRUNC((U36)*T37,2)</f>
        <v>4.25</v>
      </c>
      <c r="V37" s="81">
        <f>auxcivil!C143</f>
        <v>0.21840000000000001</v>
      </c>
      <c r="W37" s="39">
        <f>TRUNC((W36)*V37,2)</f>
        <v>4.25</v>
      </c>
      <c r="X37" s="81">
        <f>pintorN!C143</f>
        <v>0.21840000000000001</v>
      </c>
      <c r="Y37" s="39">
        <f>TRUNC((Y36)*X37,2)</f>
        <v>4.25</v>
      </c>
      <c r="Z37" s="81">
        <f>auxtelha!C143</f>
        <v>0.21840000000000001</v>
      </c>
      <c r="AA37" s="39">
        <f>TRUNC((AA36)*Z37,2)</f>
        <v>4.25</v>
      </c>
      <c r="AB37" s="81">
        <f>tecseg!C143</f>
        <v>0.21840000000000001</v>
      </c>
      <c r="AC37" s="39">
        <f>TRUNC((AC36)*AB37,2)</f>
        <v>0</v>
      </c>
    </row>
    <row r="38" spans="1:29" x14ac:dyDescent="0.25">
      <c r="A38" s="35" t="s">
        <v>142</v>
      </c>
      <c r="B38" s="35"/>
      <c r="C38" s="39">
        <f>SUM(C36:C37)</f>
        <v>0</v>
      </c>
      <c r="D38" s="35"/>
      <c r="E38" s="39">
        <f t="shared" ref="E38" si="88">SUM(E36:E37)</f>
        <v>23.715499999999999</v>
      </c>
      <c r="F38" s="35"/>
      <c r="G38" s="39">
        <f t="shared" ref="G38" si="89">SUM(G36:G37)</f>
        <v>23.715499999999999</v>
      </c>
      <c r="H38" s="35"/>
      <c r="I38" s="39">
        <f t="shared" ref="I38" si="90">SUM(I36:I37)</f>
        <v>23.715499999999999</v>
      </c>
      <c r="J38" s="35"/>
      <c r="K38" s="39">
        <f t="shared" ref="K38" si="91">SUM(K36:K37)</f>
        <v>23.715499999999999</v>
      </c>
      <c r="L38" s="35"/>
      <c r="M38" s="39">
        <f t="shared" ref="M38" si="92">SUM(M36:M37)</f>
        <v>23.715499999999999</v>
      </c>
      <c r="N38" s="35"/>
      <c r="O38" s="39">
        <f t="shared" ref="O38" si="93">SUM(O36:O37)</f>
        <v>23.715499999999999</v>
      </c>
      <c r="P38" s="35"/>
      <c r="Q38" s="39">
        <f t="shared" ref="Q38" si="94">SUM(Q36:Q37)</f>
        <v>23.715499999999999</v>
      </c>
      <c r="R38" s="35"/>
      <c r="S38" s="39">
        <f t="shared" ref="S38" si="95">SUM(S36:S37)</f>
        <v>23.715499999999999</v>
      </c>
      <c r="T38" s="35"/>
      <c r="U38" s="39">
        <f t="shared" ref="U38" si="96">SUM(U36:U37)</f>
        <v>23.715499999999999</v>
      </c>
      <c r="V38" s="35"/>
      <c r="W38" s="39">
        <f t="shared" ref="W38" si="97">SUM(W36:W37)</f>
        <v>23.715499999999999</v>
      </c>
      <c r="X38" s="35"/>
      <c r="Y38" s="39">
        <f t="shared" ref="Y38" si="98">SUM(Y36:Y37)</f>
        <v>23.715499999999999</v>
      </c>
      <c r="Z38" s="35"/>
      <c r="AA38" s="39">
        <f t="shared" ref="AA38" si="99">SUM(AA36:AA37)</f>
        <v>23.715499999999999</v>
      </c>
      <c r="AB38" s="35"/>
      <c r="AC38" s="39">
        <f t="shared" ref="AC38" si="100">SUM(AC36:AC37)</f>
        <v>0</v>
      </c>
    </row>
    <row r="39" spans="1:29" x14ac:dyDescent="0.25">
      <c r="A39" s="35" t="s">
        <v>211</v>
      </c>
      <c r="B39" s="82">
        <f>ROUNDUP(B17/8,0)</f>
        <v>4</v>
      </c>
      <c r="C39" s="39">
        <f>C38*B39</f>
        <v>0</v>
      </c>
      <c r="D39" s="82">
        <f t="shared" ref="D39:D40" si="101">ROUNDUP(D17/8,0)</f>
        <v>4</v>
      </c>
      <c r="E39" s="39">
        <f t="shared" ref="E39" si="102">E38*D39</f>
        <v>94.861999999999995</v>
      </c>
      <c r="F39" s="82">
        <f t="shared" ref="F39:F40" si="103">ROUNDUP(F17/8,0)</f>
        <v>4</v>
      </c>
      <c r="G39" s="39">
        <f t="shared" ref="G39" si="104">G38*F39</f>
        <v>94.861999999999995</v>
      </c>
      <c r="H39" s="82">
        <f t="shared" ref="H39:H40" si="105">ROUNDUP(H17/8,0)</f>
        <v>4</v>
      </c>
      <c r="I39" s="39">
        <f t="shared" ref="I39" si="106">I38*H39</f>
        <v>94.861999999999995</v>
      </c>
      <c r="J39" s="82">
        <f t="shared" ref="J39:J40" si="107">ROUNDUP(J17/8,0)</f>
        <v>4</v>
      </c>
      <c r="K39" s="39">
        <f t="shared" ref="K39" si="108">K38*J39</f>
        <v>94.861999999999995</v>
      </c>
      <c r="L39" s="82">
        <f t="shared" ref="L39:L40" si="109">ROUNDUP(L17/8,0)</f>
        <v>4</v>
      </c>
      <c r="M39" s="39">
        <f t="shared" ref="M39" si="110">M38*L39</f>
        <v>94.861999999999995</v>
      </c>
      <c r="N39" s="82">
        <f t="shared" ref="N39:N40" si="111">ROUNDUP(N17/8,0)</f>
        <v>4</v>
      </c>
      <c r="O39" s="39">
        <f t="shared" ref="O39" si="112">O38*N39</f>
        <v>94.861999999999995</v>
      </c>
      <c r="P39" s="82">
        <f t="shared" ref="P39:P40" si="113">ROUNDUP(P17/8,0)</f>
        <v>4</v>
      </c>
      <c r="Q39" s="39">
        <f t="shared" ref="Q39" si="114">Q38*P39</f>
        <v>94.861999999999995</v>
      </c>
      <c r="R39" s="82">
        <f t="shared" ref="R39:R40" si="115">ROUNDUP(R17/8,0)</f>
        <v>4</v>
      </c>
      <c r="S39" s="39">
        <f t="shared" ref="S39" si="116">S38*R39</f>
        <v>94.861999999999995</v>
      </c>
      <c r="T39" s="82">
        <f t="shared" ref="T39:T40" si="117">ROUNDUP(T17/8,0)</f>
        <v>4</v>
      </c>
      <c r="U39" s="39">
        <f t="shared" ref="U39" si="118">U38*T39</f>
        <v>94.861999999999995</v>
      </c>
      <c r="V39" s="82">
        <f t="shared" ref="V39:V40" si="119">ROUNDUP(V17/8,0)</f>
        <v>4</v>
      </c>
      <c r="W39" s="39">
        <f t="shared" ref="W39" si="120">W38*V39</f>
        <v>94.861999999999995</v>
      </c>
      <c r="X39" s="82">
        <f t="shared" ref="X39:X40" si="121">ROUNDUP(X17/8,0)</f>
        <v>4</v>
      </c>
      <c r="Y39" s="39">
        <f t="shared" ref="Y39" si="122">Y38*X39</f>
        <v>94.861999999999995</v>
      </c>
      <c r="Z39" s="82">
        <f t="shared" ref="Z39:Z40" si="123">ROUNDUP(Z17/8,0)</f>
        <v>4</v>
      </c>
      <c r="AA39" s="39">
        <f t="shared" ref="AA39" si="124">AA38*Z39</f>
        <v>94.861999999999995</v>
      </c>
      <c r="AB39" s="82">
        <f t="shared" ref="AB39:AB40" si="125">ROUNDUP(AB17/8,0)</f>
        <v>4</v>
      </c>
      <c r="AC39" s="39">
        <f t="shared" ref="AC39" si="126">AC38*AB39</f>
        <v>0</v>
      </c>
    </row>
    <row r="40" spans="1:29" x14ac:dyDescent="0.25">
      <c r="A40" s="35" t="s">
        <v>209</v>
      </c>
      <c r="B40" s="82">
        <f>ROUNDUP(B18/8,0)</f>
        <v>3</v>
      </c>
      <c r="C40" s="39">
        <f>C38*B40</f>
        <v>0</v>
      </c>
      <c r="D40" s="82">
        <f t="shared" si="101"/>
        <v>3</v>
      </c>
      <c r="E40" s="39">
        <f t="shared" ref="E40" si="127">E38*D40</f>
        <v>71.146500000000003</v>
      </c>
      <c r="F40" s="82">
        <f t="shared" si="103"/>
        <v>3</v>
      </c>
      <c r="G40" s="39">
        <f t="shared" ref="G40" si="128">G38*F40</f>
        <v>71.146500000000003</v>
      </c>
      <c r="H40" s="82">
        <f t="shared" si="105"/>
        <v>3</v>
      </c>
      <c r="I40" s="39">
        <f t="shared" ref="I40" si="129">I38*H40</f>
        <v>71.146500000000003</v>
      </c>
      <c r="J40" s="82">
        <f t="shared" si="107"/>
        <v>3</v>
      </c>
      <c r="K40" s="39">
        <f t="shared" ref="K40" si="130">K38*J40</f>
        <v>71.146500000000003</v>
      </c>
      <c r="L40" s="82">
        <f t="shared" si="109"/>
        <v>3</v>
      </c>
      <c r="M40" s="39">
        <f t="shared" ref="M40" si="131">M38*L40</f>
        <v>71.146500000000003</v>
      </c>
      <c r="N40" s="82">
        <f t="shared" si="111"/>
        <v>3</v>
      </c>
      <c r="O40" s="39">
        <f t="shared" ref="O40" si="132">O38*N40</f>
        <v>71.146500000000003</v>
      </c>
      <c r="P40" s="82">
        <f t="shared" si="113"/>
        <v>3</v>
      </c>
      <c r="Q40" s="39">
        <f t="shared" ref="Q40" si="133">Q38*P40</f>
        <v>71.146500000000003</v>
      </c>
      <c r="R40" s="82">
        <f t="shared" si="115"/>
        <v>3</v>
      </c>
      <c r="S40" s="39">
        <f t="shared" ref="S40" si="134">S38*R40</f>
        <v>71.146500000000003</v>
      </c>
      <c r="T40" s="82">
        <f t="shared" si="117"/>
        <v>3</v>
      </c>
      <c r="U40" s="39">
        <f t="shared" ref="U40" si="135">U38*T40</f>
        <v>71.146500000000003</v>
      </c>
      <c r="V40" s="82">
        <f t="shared" si="119"/>
        <v>3</v>
      </c>
      <c r="W40" s="39">
        <f t="shared" ref="W40" si="136">W38*V40</f>
        <v>71.146500000000003</v>
      </c>
      <c r="X40" s="82">
        <f t="shared" si="121"/>
        <v>3</v>
      </c>
      <c r="Y40" s="39">
        <f t="shared" ref="Y40" si="137">Y38*X40</f>
        <v>71.146500000000003</v>
      </c>
      <c r="Z40" s="82">
        <f t="shared" si="123"/>
        <v>3</v>
      </c>
      <c r="AA40" s="39">
        <f t="shared" ref="AA40" si="138">AA38*Z40</f>
        <v>71.146500000000003</v>
      </c>
      <c r="AB40" s="82">
        <f t="shared" si="125"/>
        <v>3</v>
      </c>
      <c r="AC40" s="39">
        <f t="shared" ref="AC40" si="139">AC38*AB40</f>
        <v>0</v>
      </c>
    </row>
    <row r="41" spans="1:29" x14ac:dyDescent="0.25">
      <c r="A41" s="35" t="s">
        <v>212</v>
      </c>
      <c r="B41" s="83"/>
      <c r="C41" s="37">
        <f>SUM(C39:C40)</f>
        <v>0</v>
      </c>
      <c r="D41" s="83"/>
      <c r="E41" s="37">
        <f t="shared" ref="E41" si="140">SUM(E39:E40)</f>
        <v>166.0085</v>
      </c>
      <c r="F41" s="83"/>
      <c r="G41" s="37">
        <f t="shared" ref="G41" si="141">SUM(G39:G40)</f>
        <v>166.0085</v>
      </c>
      <c r="H41" s="83"/>
      <c r="I41" s="37">
        <f t="shared" ref="I41" si="142">SUM(I39:I40)</f>
        <v>166.0085</v>
      </c>
      <c r="J41" s="83"/>
      <c r="K41" s="37">
        <f t="shared" ref="K41" si="143">SUM(K39:K40)</f>
        <v>166.0085</v>
      </c>
      <c r="L41" s="83"/>
      <c r="M41" s="37">
        <f t="shared" ref="M41" si="144">SUM(M39:M40)</f>
        <v>166.0085</v>
      </c>
      <c r="N41" s="83"/>
      <c r="O41" s="37">
        <f t="shared" ref="O41" si="145">SUM(O39:O40)</f>
        <v>166.0085</v>
      </c>
      <c r="P41" s="83"/>
      <c r="Q41" s="37">
        <f t="shared" ref="Q41" si="146">SUM(Q39:Q40)</f>
        <v>166.0085</v>
      </c>
      <c r="R41" s="83"/>
      <c r="S41" s="37">
        <f t="shared" ref="S41" si="147">SUM(S39:S40)</f>
        <v>166.0085</v>
      </c>
      <c r="T41" s="83"/>
      <c r="U41" s="37">
        <f t="shared" ref="U41" si="148">SUM(U39:U40)</f>
        <v>166.0085</v>
      </c>
      <c r="V41" s="83"/>
      <c r="W41" s="37">
        <f t="shared" ref="W41" si="149">SUM(W39:W40)</f>
        <v>166.0085</v>
      </c>
      <c r="X41" s="83"/>
      <c r="Y41" s="37">
        <f t="shared" ref="Y41" si="150">SUM(Y39:Y40)</f>
        <v>166.0085</v>
      </c>
      <c r="Z41" s="83"/>
      <c r="AA41" s="37">
        <f t="shared" ref="AA41" si="151">SUM(AA39:AA40)</f>
        <v>166.0085</v>
      </c>
      <c r="AB41" s="83"/>
      <c r="AC41" s="37">
        <f t="shared" ref="AC41" si="152">SUM(AC39:AC40)</f>
        <v>0</v>
      </c>
    </row>
    <row r="42" spans="1:29" x14ac:dyDescent="0.25">
      <c r="A42" s="35" t="s">
        <v>210</v>
      </c>
      <c r="B42" s="82"/>
      <c r="C42" s="39">
        <f>C41*C20</f>
        <v>0</v>
      </c>
      <c r="D42" s="82"/>
      <c r="E42" s="39">
        <f t="shared" ref="E42" si="153">E41*E20</f>
        <v>166.0085</v>
      </c>
      <c r="F42" s="82"/>
      <c r="G42" s="39">
        <f t="shared" ref="G42" si="154">G41*G20</f>
        <v>166.0085</v>
      </c>
      <c r="H42" s="82"/>
      <c r="I42" s="39">
        <f t="shared" ref="I42" si="155">I41*I20</f>
        <v>166.0085</v>
      </c>
      <c r="J42" s="82"/>
      <c r="K42" s="39">
        <f t="shared" ref="K42" si="156">K41*K20</f>
        <v>332.017</v>
      </c>
      <c r="L42" s="82"/>
      <c r="M42" s="39">
        <f t="shared" ref="M42" si="157">M41*M20</f>
        <v>166.0085</v>
      </c>
      <c r="N42" s="82"/>
      <c r="O42" s="39">
        <f t="shared" ref="O42" si="158">O41*O20</f>
        <v>332.017</v>
      </c>
      <c r="P42" s="82"/>
      <c r="Q42" s="39">
        <f t="shared" ref="Q42" si="159">Q41*Q20</f>
        <v>332.017</v>
      </c>
      <c r="R42" s="82"/>
      <c r="S42" s="39">
        <f t="shared" ref="S42" si="160">S41*S20</f>
        <v>498.02549999999997</v>
      </c>
      <c r="T42" s="82"/>
      <c r="U42" s="39">
        <f t="shared" ref="U42" si="161">U41*U20</f>
        <v>166.0085</v>
      </c>
      <c r="V42" s="82"/>
      <c r="W42" s="39">
        <f t="shared" ref="W42" si="162">W41*W20</f>
        <v>332.017</v>
      </c>
      <c r="X42" s="82"/>
      <c r="Y42" s="39">
        <f t="shared" ref="Y42" si="163">Y41*Y20</f>
        <v>166.0085</v>
      </c>
      <c r="Z42" s="82"/>
      <c r="AA42" s="39">
        <f t="shared" ref="AA42" si="164">AA41*AA20</f>
        <v>332.017</v>
      </c>
      <c r="AB42" s="82"/>
      <c r="AC42" s="39">
        <f t="shared" ref="AC42" si="165">AC41*AC20</f>
        <v>0</v>
      </c>
    </row>
    <row r="43" spans="1:29" x14ac:dyDescent="0.25">
      <c r="A43" s="78"/>
      <c r="B43" s="84"/>
      <c r="C43" s="80"/>
      <c r="D43" s="84"/>
      <c r="E43" s="80"/>
      <c r="F43" s="84"/>
      <c r="G43" s="80"/>
      <c r="H43" s="84"/>
      <c r="I43" s="80"/>
      <c r="J43" s="84"/>
      <c r="K43" s="80"/>
      <c r="L43" s="84"/>
      <c r="M43" s="80"/>
      <c r="N43" s="84"/>
      <c r="O43" s="80"/>
      <c r="P43" s="84"/>
      <c r="Q43" s="80"/>
      <c r="R43" s="84"/>
      <c r="S43" s="80"/>
      <c r="T43" s="84"/>
      <c r="U43" s="80"/>
      <c r="V43" s="84"/>
      <c r="W43" s="80"/>
      <c r="X43" s="84"/>
      <c r="Y43" s="80"/>
      <c r="Z43" s="84"/>
      <c r="AA43" s="80"/>
      <c r="AB43" s="84"/>
      <c r="AC43" s="80"/>
    </row>
    <row r="44" spans="1:29" x14ac:dyDescent="0.25">
      <c r="A44" s="88" t="s">
        <v>219</v>
      </c>
    </row>
    <row r="45" spans="1:29" x14ac:dyDescent="0.25">
      <c r="A45" s="89">
        <f>SUM(C21:AC21)</f>
        <v>57620.439999999995</v>
      </c>
    </row>
    <row r="46" spans="1:29" x14ac:dyDescent="0.25">
      <c r="A46" s="88" t="s">
        <v>215</v>
      </c>
    </row>
    <row r="47" spans="1:29" x14ac:dyDescent="0.25">
      <c r="A47" s="89">
        <f>SUM(C32:AC32)</f>
        <v>716.4000000000002</v>
      </c>
    </row>
    <row r="48" spans="1:29" x14ac:dyDescent="0.25">
      <c r="A48" s="88" t="s">
        <v>216</v>
      </c>
    </row>
    <row r="49" spans="1:1" x14ac:dyDescent="0.25">
      <c r="A49" s="89">
        <f>SUM(C42:AC42)</f>
        <v>3154.1614999999993</v>
      </c>
    </row>
    <row r="50" spans="1:1" x14ac:dyDescent="0.25">
      <c r="A50" s="88" t="s">
        <v>217</v>
      </c>
    </row>
    <row r="51" spans="1:1" x14ac:dyDescent="0.25">
      <c r="A51" s="89">
        <f>A45+A47+A49</f>
        <v>61491.001499999998</v>
      </c>
    </row>
  </sheetData>
  <mergeCells count="56">
    <mergeCell ref="X4:Y4"/>
    <mergeCell ref="B4:C4"/>
    <mergeCell ref="D4:E4"/>
    <mergeCell ref="F4:G4"/>
    <mergeCell ref="H4:I4"/>
    <mergeCell ref="J4:K4"/>
    <mergeCell ref="L4:M4"/>
    <mergeCell ref="AB15:AC15"/>
    <mergeCell ref="Z4:AA4"/>
    <mergeCell ref="AB4:AC4"/>
    <mergeCell ref="B15:C15"/>
    <mergeCell ref="D15:E15"/>
    <mergeCell ref="F15:G15"/>
    <mergeCell ref="H15:I15"/>
    <mergeCell ref="J15:K15"/>
    <mergeCell ref="L15:M15"/>
    <mergeCell ref="N15:O15"/>
    <mergeCell ref="P15:Q15"/>
    <mergeCell ref="N4:O4"/>
    <mergeCell ref="P4:Q4"/>
    <mergeCell ref="R4:S4"/>
    <mergeCell ref="T4:U4"/>
    <mergeCell ref="V4:W4"/>
    <mergeCell ref="R15:S15"/>
    <mergeCell ref="T15:U15"/>
    <mergeCell ref="V15:W15"/>
    <mergeCell ref="X15:Y15"/>
    <mergeCell ref="Z15:AA15"/>
    <mergeCell ref="X24:Y24"/>
    <mergeCell ref="B24:C24"/>
    <mergeCell ref="D24:E24"/>
    <mergeCell ref="F24:G24"/>
    <mergeCell ref="H24:I24"/>
    <mergeCell ref="J24:K24"/>
    <mergeCell ref="L24:M24"/>
    <mergeCell ref="AB35:AC35"/>
    <mergeCell ref="Z24:AA24"/>
    <mergeCell ref="AB24:AC24"/>
    <mergeCell ref="B35:C35"/>
    <mergeCell ref="D35:E35"/>
    <mergeCell ref="F35:G35"/>
    <mergeCell ref="H35:I35"/>
    <mergeCell ref="J35:K35"/>
    <mergeCell ref="L35:M35"/>
    <mergeCell ref="N35:O35"/>
    <mergeCell ref="P35:Q35"/>
    <mergeCell ref="N24:O24"/>
    <mergeCell ref="P24:Q24"/>
    <mergeCell ref="R24:S24"/>
    <mergeCell ref="T24:U24"/>
    <mergeCell ref="V24:W24"/>
    <mergeCell ref="R35:S35"/>
    <mergeCell ref="T35:U35"/>
    <mergeCell ref="V35:W35"/>
    <mergeCell ref="X35:Y35"/>
    <mergeCell ref="Z35:AA35"/>
  </mergeCells>
  <pageMargins left="0.51181102362204722" right="0.51181102362204722" top="0.78740157480314965" bottom="0.78740157480314965" header="0.51181102362204722" footer="0.51181102362204722"/>
  <pageSetup paperSize="9" scale="56" firstPageNumber="0" fitToWidth="2" orientation="portrait" r:id="rId1"/>
  <colBreaks count="2" manualBreakCount="2">
    <brk id="11" max="1048575" man="1"/>
    <brk id="21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AMK68"/>
  <sheetViews>
    <sheetView zoomScaleNormal="100" workbookViewId="0">
      <selection activeCell="H59" sqref="H59"/>
    </sheetView>
  </sheetViews>
  <sheetFormatPr defaultColWidth="9.140625" defaultRowHeight="15" x14ac:dyDescent="0.25"/>
  <cols>
    <col min="1" max="1" width="16.7109375" customWidth="1"/>
    <col min="2" max="2" width="43.7109375" style="33" customWidth="1"/>
    <col min="3" max="9" width="16.7109375" style="33" customWidth="1"/>
    <col min="10" max="1024" width="9.140625" style="33"/>
  </cols>
  <sheetData>
    <row r="9" spans="1:1024" x14ac:dyDescent="0.25">
      <c r="A9" s="123" t="s">
        <v>152</v>
      </c>
      <c r="B9" s="123"/>
      <c r="C9" s="123"/>
      <c r="D9" s="123"/>
      <c r="E9" s="123"/>
      <c r="F9" s="123"/>
      <c r="G9" s="123"/>
      <c r="H9" s="123"/>
      <c r="AMJ9"/>
    </row>
    <row r="10" spans="1:1024" x14ac:dyDescent="0.25">
      <c r="A10" s="33"/>
      <c r="AMJ10"/>
    </row>
    <row r="11" spans="1:1024" x14ac:dyDescent="0.25">
      <c r="A11" s="124" t="s">
        <v>153</v>
      </c>
      <c r="B11" s="124"/>
      <c r="C11" s="124"/>
      <c r="D11" s="124"/>
      <c r="E11" s="124"/>
      <c r="F11" s="124"/>
      <c r="G11" s="124"/>
      <c r="H11" s="124"/>
      <c r="AMJ11"/>
    </row>
    <row r="12" spans="1:1024" x14ac:dyDescent="0.25">
      <c r="A12" s="33"/>
      <c r="AMJ12"/>
    </row>
    <row r="13" spans="1:1024" s="42" customFormat="1" ht="28.5" x14ac:dyDescent="0.25">
      <c r="A13" s="43" t="s">
        <v>154</v>
      </c>
      <c r="B13" s="43" t="s">
        <v>155</v>
      </c>
      <c r="C13" s="43" t="s">
        <v>156</v>
      </c>
      <c r="D13" s="43" t="s">
        <v>157</v>
      </c>
      <c r="E13" s="43" t="s">
        <v>158</v>
      </c>
      <c r="F13" s="43" t="s">
        <v>159</v>
      </c>
      <c r="G13" s="43" t="s">
        <v>160</v>
      </c>
      <c r="H13" s="43" t="s">
        <v>161</v>
      </c>
    </row>
    <row r="14" spans="1:1024" x14ac:dyDescent="0.25">
      <c r="A14" s="67">
        <v>1</v>
      </c>
      <c r="B14" s="45" t="str">
        <f>engeletr!A13</f>
        <v>Engenheiro Eletricista (Supervisor)</v>
      </c>
      <c r="C14" s="46">
        <f>engeletr!D156</f>
        <v>27882.873563218389</v>
      </c>
      <c r="D14" s="44">
        <v>1</v>
      </c>
      <c r="E14" s="46">
        <f t="shared" ref="E14:E29" si="0">C14*D14</f>
        <v>27882.873563218389</v>
      </c>
      <c r="F14" s="44">
        <f>engeletr!D13</f>
        <v>1</v>
      </c>
      <c r="G14" s="46">
        <f t="shared" ref="G14:G29" si="1">E14*F14</f>
        <v>27882.873563218389</v>
      </c>
      <c r="H14" s="46">
        <f t="shared" ref="H14:H29" si="2">G14*12</f>
        <v>334594.48275862064</v>
      </c>
      <c r="AMJ14"/>
    </row>
    <row r="15" spans="1:1024" x14ac:dyDescent="0.25">
      <c r="A15" s="67">
        <v>2</v>
      </c>
      <c r="B15" s="45" t="str">
        <f>encrefig!A13</f>
        <v>Encarregado - Refrigeração</v>
      </c>
      <c r="C15" s="46">
        <f>encrefig!D156</f>
        <v>9466.5303034482768</v>
      </c>
      <c r="D15" s="44">
        <v>1</v>
      </c>
      <c r="E15" s="46">
        <f t="shared" si="0"/>
        <v>9466.5303034482768</v>
      </c>
      <c r="F15" s="44">
        <f>encrefig!D13</f>
        <v>1</v>
      </c>
      <c r="G15" s="46">
        <f t="shared" si="1"/>
        <v>9466.5303034482768</v>
      </c>
      <c r="H15" s="46">
        <f t="shared" si="2"/>
        <v>113598.36364137931</v>
      </c>
      <c r="AMJ15"/>
    </row>
    <row r="16" spans="1:1024" x14ac:dyDescent="0.25">
      <c r="A16" s="67">
        <v>3</v>
      </c>
      <c r="B16" s="45" t="str">
        <f>enceletr!A13</f>
        <v xml:space="preserve">Encarregado - Elétrica </v>
      </c>
      <c r="C16" s="46">
        <f>enceletr!D156</f>
        <v>10189.018993103449</v>
      </c>
      <c r="D16" s="44">
        <v>1</v>
      </c>
      <c r="E16" s="46">
        <f t="shared" si="0"/>
        <v>10189.018993103449</v>
      </c>
      <c r="F16" s="44">
        <f>enceletr!D13</f>
        <v>1</v>
      </c>
      <c r="G16" s="46">
        <f t="shared" si="1"/>
        <v>10189.018993103449</v>
      </c>
      <c r="H16" s="46">
        <f t="shared" si="2"/>
        <v>122268.2279172414</v>
      </c>
      <c r="AMJ16"/>
    </row>
    <row r="17" spans="1:1024" x14ac:dyDescent="0.25">
      <c r="A17" s="67">
        <v>4</v>
      </c>
      <c r="B17" s="45" t="str">
        <f>enccivil!A13</f>
        <v>Encarregado - Civil</v>
      </c>
      <c r="C17" s="46">
        <f>enccivil!D156</f>
        <v>9466.5303034482768</v>
      </c>
      <c r="D17" s="44">
        <v>1</v>
      </c>
      <c r="E17" s="46">
        <f t="shared" si="0"/>
        <v>9466.5303034482768</v>
      </c>
      <c r="F17" s="44">
        <f>enccivil!D13</f>
        <v>1</v>
      </c>
      <c r="G17" s="46">
        <f t="shared" si="1"/>
        <v>9466.5303034482768</v>
      </c>
      <c r="H17" s="46">
        <f t="shared" si="2"/>
        <v>113598.36364137931</v>
      </c>
      <c r="AMJ17"/>
    </row>
    <row r="18" spans="1:1024" x14ac:dyDescent="0.25">
      <c r="A18" s="67">
        <v>5</v>
      </c>
      <c r="B18" s="45" t="str">
        <f>tectele!A13</f>
        <v>Técnico em Redes e Telecomunicações</v>
      </c>
      <c r="C18" s="46">
        <f>tectele!D156</f>
        <v>6520.0626804597705</v>
      </c>
      <c r="D18" s="44">
        <v>1</v>
      </c>
      <c r="E18" s="46">
        <f t="shared" si="0"/>
        <v>6520.0626804597705</v>
      </c>
      <c r="F18" s="44">
        <f>tectele!D13</f>
        <v>2</v>
      </c>
      <c r="G18" s="46">
        <f t="shared" si="1"/>
        <v>13040.125360919541</v>
      </c>
      <c r="H18" s="46">
        <f t="shared" si="2"/>
        <v>156481.50433103449</v>
      </c>
      <c r="AMJ18"/>
    </row>
    <row r="19" spans="1:1024" x14ac:dyDescent="0.25">
      <c r="A19" s="67">
        <v>6</v>
      </c>
      <c r="B19" s="45" t="str">
        <f>teceletro!A13</f>
        <v>Técnico em Eletromecânica</v>
      </c>
      <c r="C19" s="46">
        <f>teceletro!D156</f>
        <v>6989.5793241379297</v>
      </c>
      <c r="D19" s="44">
        <v>1</v>
      </c>
      <c r="E19" s="46">
        <f t="shared" si="0"/>
        <v>6989.5793241379297</v>
      </c>
      <c r="F19" s="44">
        <f>teceletro!D13</f>
        <v>1</v>
      </c>
      <c r="G19" s="46">
        <f t="shared" si="1"/>
        <v>6989.5793241379297</v>
      </c>
      <c r="H19" s="46">
        <f t="shared" si="2"/>
        <v>83874.95188965516</v>
      </c>
      <c r="AMJ19"/>
    </row>
    <row r="20" spans="1:1024" x14ac:dyDescent="0.25">
      <c r="A20" s="67">
        <v>7</v>
      </c>
      <c r="B20" s="45" t="str">
        <f>bomcivil!A13</f>
        <v>Bombeiro Civil</v>
      </c>
      <c r="C20" s="46">
        <f>bomcivil!D156</f>
        <v>6738.2538114942536</v>
      </c>
      <c r="D20" s="44">
        <v>2</v>
      </c>
      <c r="E20" s="46">
        <f t="shared" si="0"/>
        <v>13476.507622988507</v>
      </c>
      <c r="F20" s="44">
        <f>bomcivil!D13</f>
        <v>1</v>
      </c>
      <c r="G20" s="46">
        <f t="shared" si="1"/>
        <v>13476.507622988507</v>
      </c>
      <c r="H20" s="46">
        <f t="shared" si="2"/>
        <v>161718.09147586208</v>
      </c>
      <c r="AMJ20"/>
    </row>
    <row r="21" spans="1:1024" x14ac:dyDescent="0.25">
      <c r="A21" s="67">
        <v>8</v>
      </c>
      <c r="B21" s="45" t="str">
        <f>tecrefrig!A13</f>
        <v>Técnico em Refrigeração</v>
      </c>
      <c r="C21" s="46">
        <f>tecrefrig!D156</f>
        <v>6520.0626804597705</v>
      </c>
      <c r="D21" s="44">
        <v>1</v>
      </c>
      <c r="E21" s="46">
        <f t="shared" si="0"/>
        <v>6520.0626804597705</v>
      </c>
      <c r="F21" s="44">
        <f>tecrefrig!D13</f>
        <v>2</v>
      </c>
      <c r="G21" s="46">
        <f t="shared" si="1"/>
        <v>13040.125360919541</v>
      </c>
      <c r="H21" s="46">
        <f t="shared" si="2"/>
        <v>156481.50433103449</v>
      </c>
      <c r="AMJ21"/>
    </row>
    <row r="22" spans="1:1024" x14ac:dyDescent="0.25">
      <c r="A22" s="67">
        <v>9</v>
      </c>
      <c r="B22" s="45" t="str">
        <f>eletric!A13</f>
        <v>Eletricista</v>
      </c>
      <c r="C22" s="46">
        <f>eletric!D156</f>
        <v>7000.922542528735</v>
      </c>
      <c r="D22" s="44">
        <v>1</v>
      </c>
      <c r="E22" s="46">
        <f t="shared" si="0"/>
        <v>7000.922542528735</v>
      </c>
      <c r="F22" s="44">
        <f>eletric!D13</f>
        <v>2</v>
      </c>
      <c r="G22" s="46">
        <f t="shared" si="1"/>
        <v>14001.84508505747</v>
      </c>
      <c r="H22" s="46">
        <f t="shared" si="2"/>
        <v>168022.14102068963</v>
      </c>
      <c r="AMJ22"/>
    </row>
    <row r="23" spans="1:1024" x14ac:dyDescent="0.25">
      <c r="A23" s="67">
        <v>10</v>
      </c>
      <c r="B23" s="45" t="str">
        <f>eletricPD!A13</f>
        <v>Eletricista - Plantonista Diurno</v>
      </c>
      <c r="C23" s="46">
        <f>eletricPD!D156</f>
        <v>6716.9144275862054</v>
      </c>
      <c r="D23" s="44">
        <v>2</v>
      </c>
      <c r="E23" s="46">
        <f t="shared" si="0"/>
        <v>13433.828855172411</v>
      </c>
      <c r="F23" s="44">
        <f>eletricPD!D13</f>
        <v>1</v>
      </c>
      <c r="G23" s="46">
        <f t="shared" si="1"/>
        <v>13433.828855172411</v>
      </c>
      <c r="H23" s="46">
        <f t="shared" si="2"/>
        <v>161205.94626206893</v>
      </c>
      <c r="AMJ23"/>
    </row>
    <row r="24" spans="1:1024" x14ac:dyDescent="0.25">
      <c r="A24" s="67">
        <v>11</v>
      </c>
      <c r="B24" s="45" t="str">
        <f>eletricPN!A13</f>
        <v>Eletricista - Plantonista Noturno</v>
      </c>
      <c r="C24" s="46">
        <f>eletricPN!D156</f>
        <v>7798.8781703239292</v>
      </c>
      <c r="D24" s="44">
        <v>2</v>
      </c>
      <c r="E24" s="46">
        <f t="shared" si="0"/>
        <v>15597.756340647858</v>
      </c>
      <c r="F24" s="44">
        <f>eletricPN!D13</f>
        <v>1</v>
      </c>
      <c r="G24" s="46">
        <f t="shared" si="1"/>
        <v>15597.756340647858</v>
      </c>
      <c r="H24" s="46">
        <f t="shared" si="2"/>
        <v>187173.0760877743</v>
      </c>
      <c r="AMJ24"/>
    </row>
    <row r="25" spans="1:1024" ht="30" x14ac:dyDescent="0.25">
      <c r="A25" s="67">
        <v>12</v>
      </c>
      <c r="B25" s="45" t="str">
        <f>ajmontD!A13</f>
        <v>Ajudante de Montagem e Manutenção (Servente Prático) - diurno</v>
      </c>
      <c r="C25" s="46">
        <f>ajmontD!D156</f>
        <v>4486.2024229885055</v>
      </c>
      <c r="D25" s="44">
        <v>1</v>
      </c>
      <c r="E25" s="46">
        <f t="shared" si="0"/>
        <v>4486.2024229885055</v>
      </c>
      <c r="F25" s="44">
        <f>ajmontD!D13</f>
        <v>3</v>
      </c>
      <c r="G25" s="46">
        <f t="shared" si="1"/>
        <v>13458.607268965516</v>
      </c>
      <c r="H25" s="46">
        <f t="shared" si="2"/>
        <v>161503.2872275862</v>
      </c>
      <c r="AMJ25"/>
    </row>
    <row r="26" spans="1:1024" ht="30" x14ac:dyDescent="0.25">
      <c r="A26" s="67">
        <v>13</v>
      </c>
      <c r="B26" s="45" t="str">
        <f>auxcivil!A13</f>
        <v xml:space="preserve">Auxiliar Técnico – Civil (pequenas obras e adequações prediais) </v>
      </c>
      <c r="C26" s="46">
        <f>auxcivil!D156</f>
        <v>6520.0626804597705</v>
      </c>
      <c r="D26" s="44">
        <v>1</v>
      </c>
      <c r="E26" s="46">
        <f t="shared" si="0"/>
        <v>6520.0626804597705</v>
      </c>
      <c r="F26" s="44">
        <f>auxcivil!D13</f>
        <v>2</v>
      </c>
      <c r="G26" s="46">
        <f t="shared" si="1"/>
        <v>13040.125360919541</v>
      </c>
      <c r="H26" s="46">
        <f t="shared" si="2"/>
        <v>156481.50433103449</v>
      </c>
      <c r="AMJ26"/>
    </row>
    <row r="27" spans="1:1024" x14ac:dyDescent="0.25">
      <c r="A27" s="67">
        <v>14</v>
      </c>
      <c r="B27" s="45" t="str">
        <f>auxtelha!A13</f>
        <v>Auxiliar Técnico – Telhadista</v>
      </c>
      <c r="C27" s="46">
        <f>auxtelha!D156</f>
        <v>6520.0626804597705</v>
      </c>
      <c r="D27" s="44">
        <v>1</v>
      </c>
      <c r="E27" s="46">
        <f t="shared" si="0"/>
        <v>6520.0626804597705</v>
      </c>
      <c r="F27" s="44">
        <f>auxtelha!D13</f>
        <v>2</v>
      </c>
      <c r="G27" s="46">
        <f t="shared" si="1"/>
        <v>13040.125360919541</v>
      </c>
      <c r="H27" s="46">
        <f t="shared" si="2"/>
        <v>156481.50433103449</v>
      </c>
      <c r="AMJ27"/>
    </row>
    <row r="28" spans="1:1024" x14ac:dyDescent="0.25">
      <c r="A28" s="67">
        <v>15</v>
      </c>
      <c r="B28" s="45" t="str">
        <f>tecseg!A13</f>
        <v xml:space="preserve">Técnico de Segurança no Trabalho Pleno </v>
      </c>
      <c r="C28" s="46">
        <f>tecseg!D156</f>
        <v>7617.1241793103436</v>
      </c>
      <c r="D28" s="44">
        <v>1</v>
      </c>
      <c r="E28" s="46">
        <f t="shared" si="0"/>
        <v>7617.1241793103436</v>
      </c>
      <c r="F28" s="44">
        <f>tecseg!D13</f>
        <v>1</v>
      </c>
      <c r="G28" s="46">
        <f t="shared" si="1"/>
        <v>7617.1241793103436</v>
      </c>
      <c r="H28" s="46">
        <f t="shared" si="2"/>
        <v>91405.490151724123</v>
      </c>
      <c r="AMJ28"/>
    </row>
    <row r="29" spans="1:1024" ht="30" x14ac:dyDescent="0.25">
      <c r="A29" s="67">
        <v>16</v>
      </c>
      <c r="B29" s="45" t="str">
        <f>ajmontN!A13</f>
        <v>Ajudante de Montagem e Manutenção (Servente Prático) - noturno</v>
      </c>
      <c r="C29" s="46">
        <f>ajmontN!D156</f>
        <v>5923.5513112643675</v>
      </c>
      <c r="D29" s="44">
        <v>1</v>
      </c>
      <c r="E29" s="46">
        <f t="shared" si="0"/>
        <v>5923.5513112643675</v>
      </c>
      <c r="F29" s="44">
        <f>ajmontN!D13</f>
        <v>1</v>
      </c>
      <c r="G29" s="46">
        <f t="shared" si="1"/>
        <v>5923.5513112643675</v>
      </c>
      <c r="H29" s="46">
        <f t="shared" si="2"/>
        <v>71082.61573517241</v>
      </c>
      <c r="AMJ29"/>
    </row>
    <row r="30" spans="1:1024" x14ac:dyDescent="0.25">
      <c r="A30" s="67">
        <v>17</v>
      </c>
      <c r="B30" s="45" t="str">
        <f>pintorN!A13</f>
        <v>Pintor Industrial (Estruturas Metálicas) - noturno</v>
      </c>
      <c r="C30" s="46">
        <f>pintorN!D156</f>
        <v>8837.634886436781</v>
      </c>
      <c r="D30" s="44">
        <v>1</v>
      </c>
      <c r="E30" s="46">
        <f>C30*D30</f>
        <v>8837.634886436781</v>
      </c>
      <c r="F30" s="44">
        <f>pintorN!D13</f>
        <v>1</v>
      </c>
      <c r="G30" s="46">
        <f>E30*F30</f>
        <v>8837.634886436781</v>
      </c>
      <c r="H30" s="46">
        <f>G30*12</f>
        <v>106051.61863724136</v>
      </c>
      <c r="AMJ30"/>
    </row>
    <row r="31" spans="1:1024" x14ac:dyDescent="0.25">
      <c r="A31" s="125" t="s">
        <v>167</v>
      </c>
      <c r="B31" s="126"/>
      <c r="C31" s="126"/>
      <c r="D31" s="126"/>
      <c r="E31" s="127"/>
      <c r="F31" s="47">
        <f>SUM(F14:F30)</f>
        <v>24</v>
      </c>
      <c r="G31" s="48">
        <f>SUM(G14:G30)</f>
        <v>208501.88948087773</v>
      </c>
      <c r="H31" s="49">
        <f>SUM(H14:H30)</f>
        <v>2502022.6737705329</v>
      </c>
      <c r="AMJ31"/>
    </row>
    <row r="32" spans="1:1024" x14ac:dyDescent="0.25">
      <c r="D32" s="34"/>
    </row>
    <row r="33" spans="1:8" x14ac:dyDescent="0.25">
      <c r="A33" s="124" t="s">
        <v>183</v>
      </c>
      <c r="B33" s="124"/>
      <c r="C33" s="124"/>
      <c r="D33" s="124"/>
      <c r="E33" s="124"/>
      <c r="F33" s="124"/>
      <c r="G33" s="124"/>
      <c r="H33" s="124"/>
    </row>
    <row r="35" spans="1:8" x14ac:dyDescent="0.25">
      <c r="B35" s="128" t="s">
        <v>162</v>
      </c>
      <c r="C35" s="128"/>
      <c r="D35" s="53" t="s">
        <v>163</v>
      </c>
      <c r="E35" s="53" t="s">
        <v>164</v>
      </c>
      <c r="F35" s="53" t="s">
        <v>160</v>
      </c>
      <c r="G35" s="53" t="s">
        <v>161</v>
      </c>
    </row>
    <row r="36" spans="1:8" x14ac:dyDescent="0.25">
      <c r="B36" s="121" t="s">
        <v>165</v>
      </c>
      <c r="C36" s="121"/>
      <c r="D36" s="50">
        <v>8</v>
      </c>
      <c r="E36" s="51">
        <f>TRUNC(169.77*(1+engeletr!C143),2)</f>
        <v>206.84</v>
      </c>
      <c r="F36" s="51">
        <f>D36*E36</f>
        <v>1654.72</v>
      </c>
      <c r="G36" s="51">
        <f>F36*12</f>
        <v>19856.64</v>
      </c>
    </row>
    <row r="37" spans="1:8" x14ac:dyDescent="0.25">
      <c r="B37" s="121" t="s">
        <v>166</v>
      </c>
      <c r="C37" s="121"/>
      <c r="D37" s="50">
        <v>8</v>
      </c>
      <c r="E37" s="51">
        <f>TRUNC(169.77*(1+engeletr!C143),2)</f>
        <v>206.84</v>
      </c>
      <c r="F37" s="51">
        <f>D37*E37</f>
        <v>1654.72</v>
      </c>
      <c r="G37" s="51">
        <f>F37*12</f>
        <v>19856.64</v>
      </c>
    </row>
    <row r="38" spans="1:8" x14ac:dyDescent="0.25">
      <c r="B38" s="122" t="s">
        <v>167</v>
      </c>
      <c r="C38" s="122"/>
      <c r="D38" s="122"/>
      <c r="E38" s="122"/>
      <c r="F38" s="50"/>
      <c r="G38" s="54">
        <f>SUM(G36:G37)</f>
        <v>39713.279999999999</v>
      </c>
    </row>
    <row r="42" spans="1:8" x14ac:dyDescent="0.25">
      <c r="B42" s="99" t="s">
        <v>168</v>
      </c>
      <c r="C42" s="100"/>
      <c r="D42" s="53" t="s">
        <v>223</v>
      </c>
      <c r="E42" s="92" t="s">
        <v>169</v>
      </c>
      <c r="F42" s="92" t="s">
        <v>164</v>
      </c>
      <c r="G42" s="53" t="s">
        <v>161</v>
      </c>
    </row>
    <row r="43" spans="1:8" x14ac:dyDescent="0.25">
      <c r="B43" s="90" t="s">
        <v>170</v>
      </c>
      <c r="C43" s="91"/>
      <c r="D43" s="101" t="s">
        <v>224</v>
      </c>
      <c r="E43" s="93">
        <v>48</v>
      </c>
      <c r="F43" s="51">
        <v>197.81</v>
      </c>
      <c r="G43" s="51">
        <f>E43*F43</f>
        <v>9494.880000000001</v>
      </c>
    </row>
    <row r="44" spans="1:8" x14ac:dyDescent="0.25">
      <c r="B44" s="90" t="s">
        <v>171</v>
      </c>
      <c r="C44" s="91"/>
      <c r="D44" s="101" t="s">
        <v>224</v>
      </c>
      <c r="E44" s="93">
        <v>2</v>
      </c>
      <c r="F44" s="51">
        <v>2793.57</v>
      </c>
      <c r="G44" s="51">
        <f t="shared" ref="G44:G48" si="3">E44*F44</f>
        <v>5587.14</v>
      </c>
    </row>
    <row r="45" spans="1:8" x14ac:dyDescent="0.25">
      <c r="B45" s="90" t="s">
        <v>172</v>
      </c>
      <c r="C45" s="91"/>
      <c r="D45" s="101" t="s">
        <v>224</v>
      </c>
      <c r="E45" s="93">
        <v>1</v>
      </c>
      <c r="F45" s="51">
        <v>6900</v>
      </c>
      <c r="G45" s="51">
        <f t="shared" si="3"/>
        <v>6900</v>
      </c>
    </row>
    <row r="46" spans="1:8" x14ac:dyDescent="0.25">
      <c r="B46" s="90" t="s">
        <v>173</v>
      </c>
      <c r="C46" s="91"/>
      <c r="D46" s="101" t="s">
        <v>225</v>
      </c>
      <c r="E46" s="93">
        <v>6720</v>
      </c>
      <c r="F46" s="51">
        <v>7.96</v>
      </c>
      <c r="G46" s="51">
        <f t="shared" si="3"/>
        <v>53491.199999999997</v>
      </c>
    </row>
    <row r="47" spans="1:8" x14ac:dyDescent="0.25">
      <c r="B47" s="90" t="s">
        <v>174</v>
      </c>
      <c r="C47" s="91"/>
      <c r="D47" s="101" t="s">
        <v>224</v>
      </c>
      <c r="E47" s="93">
        <v>4</v>
      </c>
      <c r="F47" s="51">
        <v>3868.98</v>
      </c>
      <c r="G47" s="51">
        <f t="shared" si="3"/>
        <v>15475.92</v>
      </c>
    </row>
    <row r="48" spans="1:8" x14ac:dyDescent="0.25">
      <c r="B48" s="90" t="s">
        <v>184</v>
      </c>
      <c r="C48" s="91"/>
      <c r="D48" s="101" t="s">
        <v>226</v>
      </c>
      <c r="E48" s="93">
        <v>1922.84</v>
      </c>
      <c r="F48" s="51">
        <v>32.36</v>
      </c>
      <c r="G48" s="51">
        <f t="shared" si="3"/>
        <v>62223.102399999996</v>
      </c>
    </row>
    <row r="49" spans="1:1025" x14ac:dyDescent="0.25">
      <c r="B49" s="122" t="s">
        <v>167</v>
      </c>
      <c r="C49" s="122"/>
      <c r="D49" s="122"/>
      <c r="E49" s="125"/>
      <c r="F49" s="102"/>
      <c r="G49" s="54">
        <f>SUM(G43:G48)</f>
        <v>153172.24239999999</v>
      </c>
    </row>
    <row r="52" spans="1:1025" x14ac:dyDescent="0.25">
      <c r="B52" s="58" t="s">
        <v>175</v>
      </c>
      <c r="C52" s="59"/>
      <c r="D52" s="59"/>
      <c r="E52" s="59"/>
      <c r="F52" s="60"/>
      <c r="G52" s="53" t="s">
        <v>161</v>
      </c>
    </row>
    <row r="53" spans="1:1025" x14ac:dyDescent="0.25">
      <c r="B53" s="55"/>
      <c r="C53" s="56"/>
      <c r="D53" s="56"/>
      <c r="E53" s="56"/>
      <c r="F53" s="57"/>
      <c r="G53" s="61">
        <v>59340.94</v>
      </c>
    </row>
    <row r="55" spans="1:1025" s="68" customFormat="1" ht="45.75" customHeight="1" x14ac:dyDescent="0.25">
      <c r="B55" s="132" t="s">
        <v>185</v>
      </c>
      <c r="C55" s="133"/>
      <c r="D55" s="133"/>
      <c r="E55" s="134"/>
      <c r="F55" s="66" t="s">
        <v>160</v>
      </c>
      <c r="G55" s="66" t="s">
        <v>161</v>
      </c>
      <c r="H55" s="69"/>
      <c r="I55" s="69"/>
      <c r="J55" s="69"/>
      <c r="K55" s="69"/>
      <c r="L55" s="69"/>
      <c r="M55" s="69"/>
      <c r="N55" s="69"/>
      <c r="O55" s="69"/>
      <c r="P55" s="69"/>
      <c r="Q55" s="69"/>
      <c r="R55" s="69"/>
      <c r="S55" s="69"/>
      <c r="T55" s="69"/>
      <c r="U55" s="69"/>
      <c r="V55" s="69"/>
      <c r="W55" s="69"/>
      <c r="X55" s="69"/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  <c r="AN55" s="69"/>
      <c r="AO55" s="69"/>
      <c r="AP55" s="69"/>
      <c r="AQ55" s="69"/>
      <c r="AR55" s="69"/>
      <c r="AS55" s="69"/>
      <c r="AT55" s="69"/>
      <c r="AU55" s="69"/>
      <c r="AV55" s="69"/>
      <c r="AW55" s="69"/>
      <c r="AX55" s="69"/>
      <c r="AY55" s="69"/>
      <c r="AZ55" s="69"/>
      <c r="BA55" s="69"/>
      <c r="BB55" s="69"/>
      <c r="BC55" s="69"/>
      <c r="BD55" s="69"/>
      <c r="BE55" s="69"/>
      <c r="BF55" s="69"/>
      <c r="BG55" s="69"/>
      <c r="BH55" s="69"/>
      <c r="BI55" s="69"/>
      <c r="BJ55" s="69"/>
      <c r="BK55" s="69"/>
      <c r="BL55" s="69"/>
      <c r="BM55" s="69"/>
      <c r="BN55" s="69"/>
      <c r="BO55" s="69"/>
      <c r="BP55" s="69"/>
      <c r="BQ55" s="69"/>
      <c r="BR55" s="69"/>
      <c r="BS55" s="69"/>
      <c r="BT55" s="69"/>
      <c r="BU55" s="69"/>
      <c r="BV55" s="69"/>
      <c r="BW55" s="69"/>
      <c r="BX55" s="69"/>
      <c r="BY55" s="69"/>
      <c r="BZ55" s="69"/>
      <c r="CA55" s="69"/>
      <c r="CB55" s="69"/>
      <c r="CC55" s="69"/>
      <c r="CD55" s="69"/>
      <c r="CE55" s="69"/>
      <c r="CF55" s="69"/>
      <c r="CG55" s="69"/>
      <c r="CH55" s="69"/>
      <c r="CI55" s="69"/>
      <c r="CJ55" s="69"/>
      <c r="CK55" s="69"/>
      <c r="CL55" s="69"/>
      <c r="CM55" s="69"/>
      <c r="CN55" s="69"/>
      <c r="CO55" s="69"/>
      <c r="CP55" s="69"/>
      <c r="CQ55" s="69"/>
      <c r="CR55" s="69"/>
      <c r="CS55" s="69"/>
      <c r="CT55" s="69"/>
      <c r="CU55" s="69"/>
      <c r="CV55" s="69"/>
      <c r="CW55" s="69"/>
      <c r="CX55" s="69"/>
      <c r="CY55" s="69"/>
      <c r="CZ55" s="69"/>
      <c r="DA55" s="69"/>
      <c r="DB55" s="69"/>
      <c r="DC55" s="69"/>
      <c r="DD55" s="69"/>
      <c r="DE55" s="69"/>
      <c r="DF55" s="69"/>
      <c r="DG55" s="69"/>
      <c r="DH55" s="69"/>
      <c r="DI55" s="69"/>
      <c r="DJ55" s="69"/>
      <c r="DK55" s="69"/>
      <c r="DL55" s="69"/>
      <c r="DM55" s="69"/>
      <c r="DN55" s="69"/>
      <c r="DO55" s="69"/>
      <c r="DP55" s="69"/>
      <c r="DQ55" s="69"/>
      <c r="DR55" s="69"/>
      <c r="DS55" s="69"/>
      <c r="DT55" s="69"/>
      <c r="DU55" s="69"/>
      <c r="DV55" s="69"/>
      <c r="DW55" s="69"/>
      <c r="DX55" s="69"/>
      <c r="DY55" s="69"/>
      <c r="DZ55" s="69"/>
      <c r="EA55" s="69"/>
      <c r="EB55" s="69"/>
      <c r="EC55" s="69"/>
      <c r="ED55" s="69"/>
      <c r="EE55" s="69"/>
      <c r="EF55" s="69"/>
      <c r="EG55" s="69"/>
      <c r="EH55" s="69"/>
      <c r="EI55" s="69"/>
      <c r="EJ55" s="69"/>
      <c r="EK55" s="69"/>
      <c r="EL55" s="69"/>
      <c r="EM55" s="69"/>
      <c r="EN55" s="69"/>
      <c r="EO55" s="69"/>
      <c r="EP55" s="69"/>
      <c r="EQ55" s="69"/>
      <c r="ER55" s="69"/>
      <c r="ES55" s="69"/>
      <c r="ET55" s="69"/>
      <c r="EU55" s="69"/>
      <c r="EV55" s="69"/>
      <c r="EW55" s="69"/>
      <c r="EX55" s="69"/>
      <c r="EY55" s="69"/>
      <c r="EZ55" s="69"/>
      <c r="FA55" s="69"/>
      <c r="FB55" s="69"/>
      <c r="FC55" s="69"/>
      <c r="FD55" s="69"/>
      <c r="FE55" s="69"/>
      <c r="FF55" s="69"/>
      <c r="FG55" s="69"/>
      <c r="FH55" s="69"/>
      <c r="FI55" s="69"/>
      <c r="FJ55" s="69"/>
      <c r="FK55" s="69"/>
      <c r="FL55" s="69"/>
      <c r="FM55" s="69"/>
      <c r="FN55" s="69"/>
      <c r="FO55" s="69"/>
      <c r="FP55" s="69"/>
      <c r="FQ55" s="69"/>
      <c r="FR55" s="69"/>
      <c r="FS55" s="69"/>
      <c r="FT55" s="69"/>
      <c r="FU55" s="69"/>
      <c r="FV55" s="69"/>
      <c r="FW55" s="69"/>
      <c r="FX55" s="69"/>
      <c r="FY55" s="69"/>
      <c r="FZ55" s="69"/>
      <c r="GA55" s="69"/>
      <c r="GB55" s="69"/>
      <c r="GC55" s="69"/>
      <c r="GD55" s="69"/>
      <c r="GE55" s="69"/>
      <c r="GF55" s="69"/>
      <c r="GG55" s="69"/>
      <c r="GH55" s="69"/>
      <c r="GI55" s="69"/>
      <c r="GJ55" s="69"/>
      <c r="GK55" s="69"/>
      <c r="GL55" s="69"/>
      <c r="GM55" s="69"/>
      <c r="GN55" s="69"/>
      <c r="GO55" s="69"/>
      <c r="GP55" s="69"/>
      <c r="GQ55" s="69"/>
      <c r="GR55" s="69"/>
      <c r="GS55" s="69"/>
      <c r="GT55" s="69"/>
      <c r="GU55" s="69"/>
      <c r="GV55" s="69"/>
      <c r="GW55" s="69"/>
      <c r="GX55" s="69"/>
      <c r="GY55" s="69"/>
      <c r="GZ55" s="69"/>
      <c r="HA55" s="69"/>
      <c r="HB55" s="69"/>
      <c r="HC55" s="69"/>
      <c r="HD55" s="69"/>
      <c r="HE55" s="69"/>
      <c r="HF55" s="69"/>
      <c r="HG55" s="69"/>
      <c r="HH55" s="69"/>
      <c r="HI55" s="69"/>
      <c r="HJ55" s="69"/>
      <c r="HK55" s="69"/>
      <c r="HL55" s="69"/>
      <c r="HM55" s="69"/>
      <c r="HN55" s="69"/>
      <c r="HO55" s="69"/>
      <c r="HP55" s="69"/>
      <c r="HQ55" s="69"/>
      <c r="HR55" s="69"/>
      <c r="HS55" s="69"/>
      <c r="HT55" s="69"/>
      <c r="HU55" s="69"/>
      <c r="HV55" s="69"/>
      <c r="HW55" s="69"/>
      <c r="HX55" s="69"/>
      <c r="HY55" s="69"/>
      <c r="HZ55" s="69"/>
      <c r="IA55" s="69"/>
      <c r="IB55" s="69"/>
      <c r="IC55" s="69"/>
      <c r="ID55" s="69"/>
      <c r="IE55" s="69"/>
      <c r="IF55" s="69"/>
      <c r="IG55" s="69"/>
      <c r="IH55" s="69"/>
      <c r="II55" s="69"/>
      <c r="IJ55" s="69"/>
      <c r="IK55" s="69"/>
      <c r="IL55" s="69"/>
      <c r="IM55" s="69"/>
      <c r="IN55" s="69"/>
      <c r="IO55" s="69"/>
      <c r="IP55" s="69"/>
      <c r="IQ55" s="69"/>
      <c r="IR55" s="69"/>
      <c r="IS55" s="69"/>
      <c r="IT55" s="69"/>
      <c r="IU55" s="69"/>
      <c r="IV55" s="69"/>
      <c r="IW55" s="69"/>
      <c r="IX55" s="69"/>
      <c r="IY55" s="69"/>
      <c r="IZ55" s="69"/>
      <c r="JA55" s="69"/>
      <c r="JB55" s="69"/>
      <c r="JC55" s="69"/>
      <c r="JD55" s="69"/>
      <c r="JE55" s="69"/>
      <c r="JF55" s="69"/>
      <c r="JG55" s="69"/>
      <c r="JH55" s="69"/>
      <c r="JI55" s="69"/>
      <c r="JJ55" s="69"/>
      <c r="JK55" s="69"/>
      <c r="JL55" s="69"/>
      <c r="JM55" s="69"/>
      <c r="JN55" s="69"/>
      <c r="JO55" s="69"/>
      <c r="JP55" s="69"/>
      <c r="JQ55" s="69"/>
      <c r="JR55" s="69"/>
      <c r="JS55" s="69"/>
      <c r="JT55" s="69"/>
      <c r="JU55" s="69"/>
      <c r="JV55" s="69"/>
      <c r="JW55" s="69"/>
      <c r="JX55" s="69"/>
      <c r="JY55" s="69"/>
      <c r="JZ55" s="69"/>
      <c r="KA55" s="69"/>
      <c r="KB55" s="69"/>
      <c r="KC55" s="69"/>
      <c r="KD55" s="69"/>
      <c r="KE55" s="69"/>
      <c r="KF55" s="69"/>
      <c r="KG55" s="69"/>
      <c r="KH55" s="69"/>
      <c r="KI55" s="69"/>
      <c r="KJ55" s="69"/>
      <c r="KK55" s="69"/>
      <c r="KL55" s="69"/>
      <c r="KM55" s="69"/>
      <c r="KN55" s="69"/>
      <c r="KO55" s="69"/>
      <c r="KP55" s="69"/>
      <c r="KQ55" s="69"/>
      <c r="KR55" s="69"/>
      <c r="KS55" s="69"/>
      <c r="KT55" s="69"/>
      <c r="KU55" s="69"/>
      <c r="KV55" s="69"/>
      <c r="KW55" s="69"/>
      <c r="KX55" s="69"/>
      <c r="KY55" s="69"/>
      <c r="KZ55" s="69"/>
      <c r="LA55" s="69"/>
      <c r="LB55" s="69"/>
      <c r="LC55" s="69"/>
      <c r="LD55" s="69"/>
      <c r="LE55" s="69"/>
      <c r="LF55" s="69"/>
      <c r="LG55" s="69"/>
      <c r="LH55" s="69"/>
      <c r="LI55" s="69"/>
      <c r="LJ55" s="69"/>
      <c r="LK55" s="69"/>
      <c r="LL55" s="69"/>
      <c r="LM55" s="69"/>
      <c r="LN55" s="69"/>
      <c r="LO55" s="69"/>
      <c r="LP55" s="69"/>
      <c r="LQ55" s="69"/>
      <c r="LR55" s="69"/>
      <c r="LS55" s="69"/>
      <c r="LT55" s="69"/>
      <c r="LU55" s="69"/>
      <c r="LV55" s="69"/>
      <c r="LW55" s="69"/>
      <c r="LX55" s="69"/>
      <c r="LY55" s="69"/>
      <c r="LZ55" s="69"/>
      <c r="MA55" s="69"/>
      <c r="MB55" s="69"/>
      <c r="MC55" s="69"/>
      <c r="MD55" s="69"/>
      <c r="ME55" s="69"/>
      <c r="MF55" s="69"/>
      <c r="MG55" s="69"/>
      <c r="MH55" s="69"/>
      <c r="MI55" s="69"/>
      <c r="MJ55" s="69"/>
      <c r="MK55" s="69"/>
      <c r="ML55" s="69"/>
      <c r="MM55" s="69"/>
      <c r="MN55" s="69"/>
      <c r="MO55" s="69"/>
      <c r="MP55" s="69"/>
      <c r="MQ55" s="69"/>
      <c r="MR55" s="69"/>
      <c r="MS55" s="69"/>
      <c r="MT55" s="69"/>
      <c r="MU55" s="69"/>
      <c r="MV55" s="69"/>
      <c r="MW55" s="69"/>
      <c r="MX55" s="69"/>
      <c r="MY55" s="69"/>
      <c r="MZ55" s="69"/>
      <c r="NA55" s="69"/>
      <c r="NB55" s="69"/>
      <c r="NC55" s="69"/>
      <c r="ND55" s="69"/>
      <c r="NE55" s="69"/>
      <c r="NF55" s="69"/>
      <c r="NG55" s="69"/>
      <c r="NH55" s="69"/>
      <c r="NI55" s="69"/>
      <c r="NJ55" s="69"/>
      <c r="NK55" s="69"/>
      <c r="NL55" s="69"/>
      <c r="NM55" s="69"/>
      <c r="NN55" s="69"/>
      <c r="NO55" s="69"/>
      <c r="NP55" s="69"/>
      <c r="NQ55" s="69"/>
      <c r="NR55" s="69"/>
      <c r="NS55" s="69"/>
      <c r="NT55" s="69"/>
      <c r="NU55" s="69"/>
      <c r="NV55" s="69"/>
      <c r="NW55" s="69"/>
      <c r="NX55" s="69"/>
      <c r="NY55" s="69"/>
      <c r="NZ55" s="69"/>
      <c r="OA55" s="69"/>
      <c r="OB55" s="69"/>
      <c r="OC55" s="69"/>
      <c r="OD55" s="69"/>
      <c r="OE55" s="69"/>
      <c r="OF55" s="69"/>
      <c r="OG55" s="69"/>
      <c r="OH55" s="69"/>
      <c r="OI55" s="69"/>
      <c r="OJ55" s="69"/>
      <c r="OK55" s="69"/>
      <c r="OL55" s="69"/>
      <c r="OM55" s="69"/>
      <c r="ON55" s="69"/>
      <c r="OO55" s="69"/>
      <c r="OP55" s="69"/>
      <c r="OQ55" s="69"/>
      <c r="OR55" s="69"/>
      <c r="OS55" s="69"/>
      <c r="OT55" s="69"/>
      <c r="OU55" s="69"/>
      <c r="OV55" s="69"/>
      <c r="OW55" s="69"/>
      <c r="OX55" s="69"/>
      <c r="OY55" s="69"/>
      <c r="OZ55" s="69"/>
      <c r="PA55" s="69"/>
      <c r="PB55" s="69"/>
      <c r="PC55" s="69"/>
      <c r="PD55" s="69"/>
      <c r="PE55" s="69"/>
      <c r="PF55" s="69"/>
      <c r="PG55" s="69"/>
      <c r="PH55" s="69"/>
      <c r="PI55" s="69"/>
      <c r="PJ55" s="69"/>
      <c r="PK55" s="69"/>
      <c r="PL55" s="69"/>
      <c r="PM55" s="69"/>
      <c r="PN55" s="69"/>
      <c r="PO55" s="69"/>
      <c r="PP55" s="69"/>
      <c r="PQ55" s="69"/>
      <c r="PR55" s="69"/>
      <c r="PS55" s="69"/>
      <c r="PT55" s="69"/>
      <c r="PU55" s="69"/>
      <c r="PV55" s="69"/>
      <c r="PW55" s="69"/>
      <c r="PX55" s="69"/>
      <c r="PY55" s="69"/>
      <c r="PZ55" s="69"/>
      <c r="QA55" s="69"/>
      <c r="QB55" s="69"/>
      <c r="QC55" s="69"/>
      <c r="QD55" s="69"/>
      <c r="QE55" s="69"/>
      <c r="QF55" s="69"/>
      <c r="QG55" s="69"/>
      <c r="QH55" s="69"/>
      <c r="QI55" s="69"/>
      <c r="QJ55" s="69"/>
      <c r="QK55" s="69"/>
      <c r="QL55" s="69"/>
      <c r="QM55" s="69"/>
      <c r="QN55" s="69"/>
      <c r="QO55" s="69"/>
      <c r="QP55" s="69"/>
      <c r="QQ55" s="69"/>
      <c r="QR55" s="69"/>
      <c r="QS55" s="69"/>
      <c r="QT55" s="69"/>
      <c r="QU55" s="69"/>
      <c r="QV55" s="69"/>
      <c r="QW55" s="69"/>
      <c r="QX55" s="69"/>
      <c r="QY55" s="69"/>
      <c r="QZ55" s="69"/>
      <c r="RA55" s="69"/>
      <c r="RB55" s="69"/>
      <c r="RC55" s="69"/>
      <c r="RD55" s="69"/>
      <c r="RE55" s="69"/>
      <c r="RF55" s="69"/>
      <c r="RG55" s="69"/>
      <c r="RH55" s="69"/>
      <c r="RI55" s="69"/>
      <c r="RJ55" s="69"/>
      <c r="RK55" s="69"/>
      <c r="RL55" s="69"/>
      <c r="RM55" s="69"/>
      <c r="RN55" s="69"/>
      <c r="RO55" s="69"/>
      <c r="RP55" s="69"/>
      <c r="RQ55" s="69"/>
      <c r="RR55" s="69"/>
      <c r="RS55" s="69"/>
      <c r="RT55" s="69"/>
      <c r="RU55" s="69"/>
      <c r="RV55" s="69"/>
      <c r="RW55" s="69"/>
      <c r="RX55" s="69"/>
      <c r="RY55" s="69"/>
      <c r="RZ55" s="69"/>
      <c r="SA55" s="69"/>
      <c r="SB55" s="69"/>
      <c r="SC55" s="69"/>
      <c r="SD55" s="69"/>
      <c r="SE55" s="69"/>
      <c r="SF55" s="69"/>
      <c r="SG55" s="69"/>
      <c r="SH55" s="69"/>
      <c r="SI55" s="69"/>
      <c r="SJ55" s="69"/>
      <c r="SK55" s="69"/>
      <c r="SL55" s="69"/>
      <c r="SM55" s="69"/>
      <c r="SN55" s="69"/>
      <c r="SO55" s="69"/>
      <c r="SP55" s="69"/>
      <c r="SQ55" s="69"/>
      <c r="SR55" s="69"/>
      <c r="SS55" s="69"/>
      <c r="ST55" s="69"/>
      <c r="SU55" s="69"/>
      <c r="SV55" s="69"/>
      <c r="SW55" s="69"/>
      <c r="SX55" s="69"/>
      <c r="SY55" s="69"/>
      <c r="SZ55" s="69"/>
      <c r="TA55" s="69"/>
      <c r="TB55" s="69"/>
      <c r="TC55" s="69"/>
      <c r="TD55" s="69"/>
      <c r="TE55" s="69"/>
      <c r="TF55" s="69"/>
      <c r="TG55" s="69"/>
      <c r="TH55" s="69"/>
      <c r="TI55" s="69"/>
      <c r="TJ55" s="69"/>
      <c r="TK55" s="69"/>
      <c r="TL55" s="69"/>
      <c r="TM55" s="69"/>
      <c r="TN55" s="69"/>
      <c r="TO55" s="69"/>
      <c r="TP55" s="69"/>
      <c r="TQ55" s="69"/>
      <c r="TR55" s="69"/>
      <c r="TS55" s="69"/>
      <c r="TT55" s="69"/>
      <c r="TU55" s="69"/>
      <c r="TV55" s="69"/>
      <c r="TW55" s="69"/>
      <c r="TX55" s="69"/>
      <c r="TY55" s="69"/>
      <c r="TZ55" s="69"/>
      <c r="UA55" s="69"/>
      <c r="UB55" s="69"/>
      <c r="UC55" s="69"/>
      <c r="UD55" s="69"/>
      <c r="UE55" s="69"/>
      <c r="UF55" s="69"/>
      <c r="UG55" s="69"/>
      <c r="UH55" s="69"/>
      <c r="UI55" s="69"/>
      <c r="UJ55" s="69"/>
      <c r="UK55" s="69"/>
      <c r="UL55" s="69"/>
      <c r="UM55" s="69"/>
      <c r="UN55" s="69"/>
      <c r="UO55" s="69"/>
      <c r="UP55" s="69"/>
      <c r="UQ55" s="69"/>
      <c r="UR55" s="69"/>
      <c r="US55" s="69"/>
      <c r="UT55" s="69"/>
      <c r="UU55" s="69"/>
      <c r="UV55" s="69"/>
      <c r="UW55" s="69"/>
      <c r="UX55" s="69"/>
      <c r="UY55" s="69"/>
      <c r="UZ55" s="69"/>
      <c r="VA55" s="69"/>
      <c r="VB55" s="69"/>
      <c r="VC55" s="69"/>
      <c r="VD55" s="69"/>
      <c r="VE55" s="69"/>
      <c r="VF55" s="69"/>
      <c r="VG55" s="69"/>
      <c r="VH55" s="69"/>
      <c r="VI55" s="69"/>
      <c r="VJ55" s="69"/>
      <c r="VK55" s="69"/>
      <c r="VL55" s="69"/>
      <c r="VM55" s="69"/>
      <c r="VN55" s="69"/>
      <c r="VO55" s="69"/>
      <c r="VP55" s="69"/>
      <c r="VQ55" s="69"/>
      <c r="VR55" s="69"/>
      <c r="VS55" s="69"/>
      <c r="VT55" s="69"/>
      <c r="VU55" s="69"/>
      <c r="VV55" s="69"/>
      <c r="VW55" s="69"/>
      <c r="VX55" s="69"/>
      <c r="VY55" s="69"/>
      <c r="VZ55" s="69"/>
      <c r="WA55" s="69"/>
      <c r="WB55" s="69"/>
      <c r="WC55" s="69"/>
      <c r="WD55" s="69"/>
      <c r="WE55" s="69"/>
      <c r="WF55" s="69"/>
      <c r="WG55" s="69"/>
      <c r="WH55" s="69"/>
      <c r="WI55" s="69"/>
      <c r="WJ55" s="69"/>
      <c r="WK55" s="69"/>
      <c r="WL55" s="69"/>
      <c r="WM55" s="69"/>
      <c r="WN55" s="69"/>
      <c r="WO55" s="69"/>
      <c r="WP55" s="69"/>
      <c r="WQ55" s="69"/>
      <c r="WR55" s="69"/>
      <c r="WS55" s="69"/>
      <c r="WT55" s="69"/>
      <c r="WU55" s="69"/>
      <c r="WV55" s="69"/>
      <c r="WW55" s="69"/>
      <c r="WX55" s="69"/>
      <c r="WY55" s="69"/>
      <c r="WZ55" s="69"/>
      <c r="XA55" s="69"/>
      <c r="XB55" s="69"/>
      <c r="XC55" s="69"/>
      <c r="XD55" s="69"/>
      <c r="XE55" s="69"/>
      <c r="XF55" s="69"/>
      <c r="XG55" s="69"/>
      <c r="XH55" s="69"/>
      <c r="XI55" s="69"/>
      <c r="XJ55" s="69"/>
      <c r="XK55" s="69"/>
      <c r="XL55" s="69"/>
      <c r="XM55" s="69"/>
      <c r="XN55" s="69"/>
      <c r="XO55" s="69"/>
      <c r="XP55" s="69"/>
      <c r="XQ55" s="69"/>
      <c r="XR55" s="69"/>
      <c r="XS55" s="69"/>
      <c r="XT55" s="69"/>
      <c r="XU55" s="69"/>
      <c r="XV55" s="69"/>
      <c r="XW55" s="69"/>
      <c r="XX55" s="69"/>
      <c r="XY55" s="69"/>
      <c r="XZ55" s="69"/>
      <c r="YA55" s="69"/>
      <c r="YB55" s="69"/>
      <c r="YC55" s="69"/>
      <c r="YD55" s="69"/>
      <c r="YE55" s="69"/>
      <c r="YF55" s="69"/>
      <c r="YG55" s="69"/>
      <c r="YH55" s="69"/>
      <c r="YI55" s="69"/>
      <c r="YJ55" s="69"/>
      <c r="YK55" s="69"/>
      <c r="YL55" s="69"/>
      <c r="YM55" s="69"/>
      <c r="YN55" s="69"/>
      <c r="YO55" s="69"/>
      <c r="YP55" s="69"/>
      <c r="YQ55" s="69"/>
      <c r="YR55" s="69"/>
      <c r="YS55" s="69"/>
      <c r="YT55" s="69"/>
      <c r="YU55" s="69"/>
      <c r="YV55" s="69"/>
      <c r="YW55" s="69"/>
      <c r="YX55" s="69"/>
      <c r="YY55" s="69"/>
      <c r="YZ55" s="69"/>
      <c r="ZA55" s="69"/>
      <c r="ZB55" s="69"/>
      <c r="ZC55" s="69"/>
      <c r="ZD55" s="69"/>
      <c r="ZE55" s="69"/>
      <c r="ZF55" s="69"/>
      <c r="ZG55" s="69"/>
      <c r="ZH55" s="69"/>
      <c r="ZI55" s="69"/>
      <c r="ZJ55" s="69"/>
      <c r="ZK55" s="69"/>
      <c r="ZL55" s="69"/>
      <c r="ZM55" s="69"/>
      <c r="ZN55" s="69"/>
      <c r="ZO55" s="69"/>
      <c r="ZP55" s="69"/>
      <c r="ZQ55" s="69"/>
      <c r="ZR55" s="69"/>
      <c r="ZS55" s="69"/>
      <c r="ZT55" s="69"/>
      <c r="ZU55" s="69"/>
      <c r="ZV55" s="69"/>
      <c r="ZW55" s="69"/>
      <c r="ZX55" s="69"/>
      <c r="ZY55" s="69"/>
      <c r="ZZ55" s="69"/>
      <c r="AAA55" s="69"/>
      <c r="AAB55" s="69"/>
      <c r="AAC55" s="69"/>
      <c r="AAD55" s="69"/>
      <c r="AAE55" s="69"/>
      <c r="AAF55" s="69"/>
      <c r="AAG55" s="69"/>
      <c r="AAH55" s="69"/>
      <c r="AAI55" s="69"/>
      <c r="AAJ55" s="69"/>
      <c r="AAK55" s="69"/>
      <c r="AAL55" s="69"/>
      <c r="AAM55" s="69"/>
      <c r="AAN55" s="69"/>
      <c r="AAO55" s="69"/>
      <c r="AAP55" s="69"/>
      <c r="AAQ55" s="69"/>
      <c r="AAR55" s="69"/>
      <c r="AAS55" s="69"/>
      <c r="AAT55" s="69"/>
      <c r="AAU55" s="69"/>
      <c r="AAV55" s="69"/>
      <c r="AAW55" s="69"/>
      <c r="AAX55" s="69"/>
      <c r="AAY55" s="69"/>
      <c r="AAZ55" s="69"/>
      <c r="ABA55" s="69"/>
      <c r="ABB55" s="69"/>
      <c r="ABC55" s="69"/>
      <c r="ABD55" s="69"/>
      <c r="ABE55" s="69"/>
      <c r="ABF55" s="69"/>
      <c r="ABG55" s="69"/>
      <c r="ABH55" s="69"/>
      <c r="ABI55" s="69"/>
      <c r="ABJ55" s="69"/>
      <c r="ABK55" s="69"/>
      <c r="ABL55" s="69"/>
      <c r="ABM55" s="69"/>
      <c r="ABN55" s="69"/>
      <c r="ABO55" s="69"/>
      <c r="ABP55" s="69"/>
      <c r="ABQ55" s="69"/>
      <c r="ABR55" s="69"/>
      <c r="ABS55" s="69"/>
      <c r="ABT55" s="69"/>
      <c r="ABU55" s="69"/>
      <c r="ABV55" s="69"/>
      <c r="ABW55" s="69"/>
      <c r="ABX55" s="69"/>
      <c r="ABY55" s="69"/>
      <c r="ABZ55" s="69"/>
      <c r="ACA55" s="69"/>
      <c r="ACB55" s="69"/>
      <c r="ACC55" s="69"/>
      <c r="ACD55" s="69"/>
      <c r="ACE55" s="69"/>
      <c r="ACF55" s="69"/>
      <c r="ACG55" s="69"/>
      <c r="ACH55" s="69"/>
      <c r="ACI55" s="69"/>
      <c r="ACJ55" s="69"/>
      <c r="ACK55" s="69"/>
      <c r="ACL55" s="69"/>
      <c r="ACM55" s="69"/>
      <c r="ACN55" s="69"/>
      <c r="ACO55" s="69"/>
      <c r="ACP55" s="69"/>
      <c r="ACQ55" s="69"/>
      <c r="ACR55" s="69"/>
      <c r="ACS55" s="69"/>
      <c r="ACT55" s="69"/>
      <c r="ACU55" s="69"/>
      <c r="ACV55" s="69"/>
      <c r="ACW55" s="69"/>
      <c r="ACX55" s="69"/>
      <c r="ACY55" s="69"/>
      <c r="ACZ55" s="69"/>
      <c r="ADA55" s="69"/>
      <c r="ADB55" s="69"/>
      <c r="ADC55" s="69"/>
      <c r="ADD55" s="69"/>
      <c r="ADE55" s="69"/>
      <c r="ADF55" s="69"/>
      <c r="ADG55" s="69"/>
      <c r="ADH55" s="69"/>
      <c r="ADI55" s="69"/>
      <c r="ADJ55" s="69"/>
      <c r="ADK55" s="69"/>
      <c r="ADL55" s="69"/>
      <c r="ADM55" s="69"/>
      <c r="ADN55" s="69"/>
      <c r="ADO55" s="69"/>
      <c r="ADP55" s="69"/>
      <c r="ADQ55" s="69"/>
      <c r="ADR55" s="69"/>
      <c r="ADS55" s="69"/>
      <c r="ADT55" s="69"/>
      <c r="ADU55" s="69"/>
      <c r="ADV55" s="69"/>
      <c r="ADW55" s="69"/>
      <c r="ADX55" s="69"/>
      <c r="ADY55" s="69"/>
      <c r="ADZ55" s="69"/>
      <c r="AEA55" s="69"/>
      <c r="AEB55" s="69"/>
      <c r="AEC55" s="69"/>
      <c r="AED55" s="69"/>
      <c r="AEE55" s="69"/>
      <c r="AEF55" s="69"/>
      <c r="AEG55" s="69"/>
      <c r="AEH55" s="69"/>
      <c r="AEI55" s="69"/>
      <c r="AEJ55" s="69"/>
      <c r="AEK55" s="69"/>
      <c r="AEL55" s="69"/>
      <c r="AEM55" s="69"/>
      <c r="AEN55" s="69"/>
      <c r="AEO55" s="69"/>
      <c r="AEP55" s="69"/>
      <c r="AEQ55" s="69"/>
      <c r="AER55" s="69"/>
      <c r="AES55" s="69"/>
      <c r="AET55" s="69"/>
      <c r="AEU55" s="69"/>
      <c r="AEV55" s="69"/>
      <c r="AEW55" s="69"/>
      <c r="AEX55" s="69"/>
      <c r="AEY55" s="69"/>
      <c r="AEZ55" s="69"/>
      <c r="AFA55" s="69"/>
      <c r="AFB55" s="69"/>
      <c r="AFC55" s="69"/>
      <c r="AFD55" s="69"/>
      <c r="AFE55" s="69"/>
      <c r="AFF55" s="69"/>
      <c r="AFG55" s="69"/>
      <c r="AFH55" s="69"/>
      <c r="AFI55" s="69"/>
      <c r="AFJ55" s="69"/>
      <c r="AFK55" s="69"/>
      <c r="AFL55" s="69"/>
      <c r="AFM55" s="69"/>
      <c r="AFN55" s="69"/>
      <c r="AFO55" s="69"/>
      <c r="AFP55" s="69"/>
      <c r="AFQ55" s="69"/>
      <c r="AFR55" s="69"/>
      <c r="AFS55" s="69"/>
      <c r="AFT55" s="69"/>
      <c r="AFU55" s="69"/>
      <c r="AFV55" s="69"/>
      <c r="AFW55" s="69"/>
      <c r="AFX55" s="69"/>
      <c r="AFY55" s="69"/>
      <c r="AFZ55" s="69"/>
      <c r="AGA55" s="69"/>
      <c r="AGB55" s="69"/>
      <c r="AGC55" s="69"/>
      <c r="AGD55" s="69"/>
      <c r="AGE55" s="69"/>
      <c r="AGF55" s="69"/>
      <c r="AGG55" s="69"/>
      <c r="AGH55" s="69"/>
      <c r="AGI55" s="69"/>
      <c r="AGJ55" s="69"/>
      <c r="AGK55" s="69"/>
      <c r="AGL55" s="69"/>
      <c r="AGM55" s="69"/>
      <c r="AGN55" s="69"/>
      <c r="AGO55" s="69"/>
      <c r="AGP55" s="69"/>
      <c r="AGQ55" s="69"/>
      <c r="AGR55" s="69"/>
      <c r="AGS55" s="69"/>
      <c r="AGT55" s="69"/>
      <c r="AGU55" s="69"/>
      <c r="AGV55" s="69"/>
      <c r="AGW55" s="69"/>
      <c r="AGX55" s="69"/>
      <c r="AGY55" s="69"/>
      <c r="AGZ55" s="69"/>
      <c r="AHA55" s="69"/>
      <c r="AHB55" s="69"/>
      <c r="AHC55" s="69"/>
      <c r="AHD55" s="69"/>
      <c r="AHE55" s="69"/>
      <c r="AHF55" s="69"/>
      <c r="AHG55" s="69"/>
      <c r="AHH55" s="69"/>
      <c r="AHI55" s="69"/>
      <c r="AHJ55" s="69"/>
      <c r="AHK55" s="69"/>
      <c r="AHL55" s="69"/>
      <c r="AHM55" s="69"/>
      <c r="AHN55" s="69"/>
      <c r="AHO55" s="69"/>
      <c r="AHP55" s="69"/>
      <c r="AHQ55" s="69"/>
      <c r="AHR55" s="69"/>
      <c r="AHS55" s="69"/>
      <c r="AHT55" s="69"/>
      <c r="AHU55" s="69"/>
      <c r="AHV55" s="69"/>
      <c r="AHW55" s="69"/>
      <c r="AHX55" s="69"/>
      <c r="AHY55" s="69"/>
      <c r="AHZ55" s="69"/>
      <c r="AIA55" s="69"/>
      <c r="AIB55" s="69"/>
      <c r="AIC55" s="69"/>
      <c r="AID55" s="69"/>
      <c r="AIE55" s="69"/>
      <c r="AIF55" s="69"/>
      <c r="AIG55" s="69"/>
      <c r="AIH55" s="69"/>
      <c r="AII55" s="69"/>
      <c r="AIJ55" s="69"/>
      <c r="AIK55" s="69"/>
      <c r="AIL55" s="69"/>
      <c r="AIM55" s="69"/>
      <c r="AIN55" s="69"/>
      <c r="AIO55" s="69"/>
      <c r="AIP55" s="69"/>
      <c r="AIQ55" s="69"/>
      <c r="AIR55" s="69"/>
      <c r="AIS55" s="69"/>
      <c r="AIT55" s="69"/>
      <c r="AIU55" s="69"/>
      <c r="AIV55" s="69"/>
      <c r="AIW55" s="69"/>
      <c r="AIX55" s="69"/>
      <c r="AIY55" s="69"/>
      <c r="AIZ55" s="69"/>
      <c r="AJA55" s="69"/>
      <c r="AJB55" s="69"/>
      <c r="AJC55" s="69"/>
      <c r="AJD55" s="69"/>
      <c r="AJE55" s="69"/>
      <c r="AJF55" s="69"/>
      <c r="AJG55" s="69"/>
      <c r="AJH55" s="69"/>
      <c r="AJI55" s="69"/>
      <c r="AJJ55" s="69"/>
      <c r="AJK55" s="69"/>
      <c r="AJL55" s="69"/>
      <c r="AJM55" s="69"/>
      <c r="AJN55" s="69"/>
      <c r="AJO55" s="69"/>
      <c r="AJP55" s="69"/>
      <c r="AJQ55" s="69"/>
      <c r="AJR55" s="69"/>
      <c r="AJS55" s="69"/>
      <c r="AJT55" s="69"/>
      <c r="AJU55" s="69"/>
      <c r="AJV55" s="69"/>
      <c r="AJW55" s="69"/>
      <c r="AJX55" s="69"/>
      <c r="AJY55" s="69"/>
      <c r="AJZ55" s="69"/>
      <c r="AKA55" s="69"/>
      <c r="AKB55" s="69"/>
      <c r="AKC55" s="69"/>
      <c r="AKD55" s="69"/>
      <c r="AKE55" s="69"/>
      <c r="AKF55" s="69"/>
      <c r="AKG55" s="69"/>
      <c r="AKH55" s="69"/>
      <c r="AKI55" s="69"/>
      <c r="AKJ55" s="69"/>
      <c r="AKK55" s="69"/>
      <c r="AKL55" s="69"/>
      <c r="AKM55" s="69"/>
      <c r="AKN55" s="69"/>
      <c r="AKO55" s="69"/>
      <c r="AKP55" s="69"/>
      <c r="AKQ55" s="69"/>
      <c r="AKR55" s="69"/>
      <c r="AKS55" s="69"/>
      <c r="AKT55" s="69"/>
      <c r="AKU55" s="69"/>
      <c r="AKV55" s="69"/>
      <c r="AKW55" s="69"/>
      <c r="AKX55" s="69"/>
      <c r="AKY55" s="69"/>
      <c r="AKZ55" s="69"/>
      <c r="ALA55" s="69"/>
      <c r="ALB55" s="69"/>
      <c r="ALC55" s="69"/>
      <c r="ALD55" s="69"/>
      <c r="ALE55" s="69"/>
      <c r="ALF55" s="69"/>
      <c r="ALG55" s="69"/>
      <c r="ALH55" s="69"/>
      <c r="ALI55" s="69"/>
      <c r="ALJ55" s="69"/>
      <c r="ALK55" s="69"/>
      <c r="ALL55" s="69"/>
      <c r="ALM55" s="69"/>
      <c r="ALN55" s="69"/>
      <c r="ALO55" s="69"/>
      <c r="ALP55" s="69"/>
      <c r="ALQ55" s="69"/>
      <c r="ALR55" s="69"/>
      <c r="ALS55" s="69"/>
      <c r="ALT55" s="69"/>
      <c r="ALU55" s="69"/>
      <c r="ALV55" s="69"/>
      <c r="ALW55" s="69"/>
      <c r="ALX55" s="69"/>
      <c r="ALY55" s="69"/>
      <c r="ALZ55" s="69"/>
      <c r="AMA55" s="69"/>
      <c r="AMB55" s="69"/>
      <c r="AMC55" s="69"/>
      <c r="AMD55" s="69"/>
      <c r="AME55" s="69"/>
      <c r="AMF55" s="69"/>
      <c r="AMG55" s="69"/>
      <c r="AMH55" s="69"/>
      <c r="AMI55" s="69"/>
      <c r="AMJ55" s="69"/>
    </row>
    <row r="56" spans="1:1025" ht="30" customHeight="1" x14ac:dyDescent="0.25">
      <c r="B56" s="135" t="s">
        <v>227</v>
      </c>
      <c r="C56" s="136"/>
      <c r="D56" s="136"/>
      <c r="E56" s="137"/>
      <c r="F56" s="52">
        <f>TRUNC(G31*17.5%,2)</f>
        <v>36487.83</v>
      </c>
      <c r="G56" s="61">
        <f>TRUNC(F56*12,2)</f>
        <v>437853.96</v>
      </c>
    </row>
    <row r="58" spans="1:1025" x14ac:dyDescent="0.25">
      <c r="A58" s="124" t="s">
        <v>176</v>
      </c>
      <c r="B58" s="124"/>
      <c r="C58" s="124"/>
      <c r="D58" s="124"/>
      <c r="E58" s="124"/>
      <c r="F58" s="124"/>
      <c r="G58" s="124"/>
      <c r="H58" s="124"/>
    </row>
    <row r="61" spans="1:1025" x14ac:dyDescent="0.25">
      <c r="E61" s="53" t="s">
        <v>177</v>
      </c>
      <c r="F61" s="53" t="s">
        <v>181</v>
      </c>
      <c r="G61" s="53" t="s">
        <v>182</v>
      </c>
      <c r="AMK61" s="33"/>
    </row>
    <row r="62" spans="1:1025" x14ac:dyDescent="0.25">
      <c r="B62" s="129" t="s">
        <v>153</v>
      </c>
      <c r="C62" s="130"/>
      <c r="D62" s="131"/>
      <c r="E62" s="52">
        <f>H31</f>
        <v>2502022.6737705329</v>
      </c>
      <c r="F62" s="52">
        <f>H31</f>
        <v>2502022.6737705329</v>
      </c>
      <c r="G62" s="52">
        <f>SUM(E62:F62)</f>
        <v>5004045.3475410659</v>
      </c>
      <c r="AMK62" s="33"/>
    </row>
    <row r="63" spans="1:1025" x14ac:dyDescent="0.25">
      <c r="B63" s="129" t="s">
        <v>178</v>
      </c>
      <c r="C63" s="130"/>
      <c r="D63" s="131"/>
      <c r="E63" s="52">
        <f>hextraAnE!A51</f>
        <v>61491.001499999998</v>
      </c>
      <c r="F63" s="52">
        <f>hextraAE!A51</f>
        <v>238444.10649999999</v>
      </c>
      <c r="G63" s="52">
        <f t="shared" ref="G63:G67" si="4">SUM(E63:F63)</f>
        <v>299935.10800000001</v>
      </c>
      <c r="AMK63" s="33"/>
    </row>
    <row r="64" spans="1:1025" x14ac:dyDescent="0.25">
      <c r="B64" s="129" t="s">
        <v>162</v>
      </c>
      <c r="C64" s="130"/>
      <c r="D64" s="131"/>
      <c r="E64" s="52">
        <f>G38</f>
        <v>39713.279999999999</v>
      </c>
      <c r="F64" s="52">
        <f>G38</f>
        <v>39713.279999999999</v>
      </c>
      <c r="G64" s="52">
        <f t="shared" si="4"/>
        <v>79426.559999999998</v>
      </c>
      <c r="AMK64" s="33"/>
    </row>
    <row r="65" spans="2:7 1025:1025" x14ac:dyDescent="0.25">
      <c r="B65" s="129" t="s">
        <v>168</v>
      </c>
      <c r="C65" s="130"/>
      <c r="D65" s="131"/>
      <c r="E65" s="52">
        <f>G49</f>
        <v>153172.24239999999</v>
      </c>
      <c r="F65" s="52">
        <f>G49</f>
        <v>153172.24239999999</v>
      </c>
      <c r="G65" s="52">
        <f t="shared" si="4"/>
        <v>306344.48479999998</v>
      </c>
      <c r="AMK65" s="33"/>
    </row>
    <row r="66" spans="2:7 1025:1025" x14ac:dyDescent="0.25">
      <c r="B66" s="129" t="s">
        <v>179</v>
      </c>
      <c r="C66" s="130"/>
      <c r="D66" s="131"/>
      <c r="E66" s="52">
        <f>G53</f>
        <v>59340.94</v>
      </c>
      <c r="F66" s="52">
        <f>G53</f>
        <v>59340.94</v>
      </c>
      <c r="G66" s="52">
        <f t="shared" si="4"/>
        <v>118681.88</v>
      </c>
      <c r="AMK66" s="33"/>
    </row>
    <row r="67" spans="2:7 1025:1025" x14ac:dyDescent="0.25">
      <c r="B67" s="129" t="s">
        <v>180</v>
      </c>
      <c r="C67" s="130"/>
      <c r="D67" s="131"/>
      <c r="E67" s="52">
        <f>G56</f>
        <v>437853.96</v>
      </c>
      <c r="F67" s="52">
        <f>G56</f>
        <v>437853.96</v>
      </c>
      <c r="G67" s="52">
        <f t="shared" si="4"/>
        <v>875707.92</v>
      </c>
      <c r="AMK67" s="33"/>
    </row>
    <row r="68" spans="2:7 1025:1025" x14ac:dyDescent="0.25">
      <c r="B68" s="125" t="s">
        <v>167</v>
      </c>
      <c r="C68" s="126"/>
      <c r="D68" s="127"/>
      <c r="E68" s="54">
        <f>SUM(E62:E67)</f>
        <v>3253594.0976705323</v>
      </c>
      <c r="F68" s="54">
        <f t="shared" ref="F68:G68" si="5">SUM(F62:F67)</f>
        <v>3430547.2026705323</v>
      </c>
      <c r="G68" s="54">
        <f t="shared" si="5"/>
        <v>6684141.300341065</v>
      </c>
      <c r="AMK68" s="33"/>
    </row>
  </sheetData>
  <mergeCells count="19">
    <mergeCell ref="B64:D64"/>
    <mergeCell ref="B65:D65"/>
    <mergeCell ref="B66:D66"/>
    <mergeCell ref="B67:D67"/>
    <mergeCell ref="B68:D68"/>
    <mergeCell ref="B49:E49"/>
    <mergeCell ref="B62:D62"/>
    <mergeCell ref="B63:D63"/>
    <mergeCell ref="A58:H58"/>
    <mergeCell ref="B55:E55"/>
    <mergeCell ref="B56:E56"/>
    <mergeCell ref="B37:C37"/>
    <mergeCell ref="B38:E38"/>
    <mergeCell ref="A9:H9"/>
    <mergeCell ref="A11:H11"/>
    <mergeCell ref="A31:E31"/>
    <mergeCell ref="B35:C35"/>
    <mergeCell ref="B36:C36"/>
    <mergeCell ref="A33:H33"/>
  </mergeCells>
  <pageMargins left="0.51181102362204722" right="0.51181102362204722" top="0.78740157480314965" bottom="0.78740157480314965" header="0.51181102362204722" footer="0.51181102362204722"/>
  <pageSetup paperSize="9" scale="84" firstPageNumber="0" orientation="landscape" horizontalDpi="300" verticalDpi="300" r:id="rId1"/>
  <headerFooter>
    <oddFooter>&amp;L&amp;"Calibri,Negrito"Estimativa em &amp;D</oddFooter>
  </headerFooter>
  <rowBreaks count="2" manualBreakCount="2">
    <brk id="31" max="16383" man="1"/>
    <brk id="56" max="7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6"/>
  <sheetViews>
    <sheetView topLeftCell="A10" zoomScale="115" zoomScaleNormal="115" workbookViewId="0">
      <selection activeCell="D127" sqref="D127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104" t="s">
        <v>0</v>
      </c>
      <c r="B1" s="104"/>
      <c r="C1" s="104"/>
      <c r="D1" s="104"/>
    </row>
    <row r="2" spans="1:4" ht="15.75" x14ac:dyDescent="0.25">
      <c r="A2" s="2"/>
      <c r="B2" s="2"/>
      <c r="C2" s="2"/>
      <c r="D2" s="2"/>
    </row>
    <row r="3" spans="1:4" x14ac:dyDescent="0.25">
      <c r="A3" s="105" t="s">
        <v>1</v>
      </c>
      <c r="B3" s="105"/>
      <c r="C3" s="105"/>
      <c r="D3" s="105"/>
    </row>
    <row r="4" spans="1:4" x14ac:dyDescent="0.25">
      <c r="A4" s="3"/>
      <c r="B4" s="3"/>
      <c r="C4" s="3"/>
      <c r="D4" s="3"/>
    </row>
    <row r="5" spans="1:4" x14ac:dyDescent="0.25">
      <c r="A5" s="4" t="s">
        <v>2</v>
      </c>
      <c r="B5" s="5" t="s">
        <v>3</v>
      </c>
      <c r="C5" s="6"/>
      <c r="D5" s="7"/>
    </row>
    <row r="6" spans="1:4" x14ac:dyDescent="0.25">
      <c r="A6" s="4" t="s">
        <v>4</v>
      </c>
      <c r="B6" s="5" t="s">
        <v>5</v>
      </c>
      <c r="C6" s="6"/>
      <c r="D6" s="7"/>
    </row>
    <row r="7" spans="1:4" x14ac:dyDescent="0.25">
      <c r="A7" s="4" t="s">
        <v>6</v>
      </c>
      <c r="B7" s="5" t="s">
        <v>7</v>
      </c>
      <c r="C7" s="6"/>
      <c r="D7" s="7"/>
    </row>
    <row r="8" spans="1:4" x14ac:dyDescent="0.25">
      <c r="A8" s="4" t="s">
        <v>8</v>
      </c>
      <c r="B8" s="5" t="s">
        <v>9</v>
      </c>
      <c r="C8" s="6"/>
      <c r="D8" s="7">
        <v>24</v>
      </c>
    </row>
    <row r="10" spans="1:4" x14ac:dyDescent="0.25">
      <c r="A10" s="105" t="s">
        <v>10</v>
      </c>
      <c r="B10" s="105"/>
      <c r="C10" s="105"/>
      <c r="D10" s="105"/>
    </row>
    <row r="11" spans="1:4" x14ac:dyDescent="0.25">
      <c r="A11" s="3"/>
      <c r="B11" s="3"/>
      <c r="C11" s="3"/>
      <c r="D11" s="3"/>
    </row>
    <row r="12" spans="1:4" ht="38.25" customHeight="1" x14ac:dyDescent="0.25">
      <c r="A12" s="106" t="s">
        <v>11</v>
      </c>
      <c r="B12" s="106"/>
      <c r="C12" s="8" t="s">
        <v>12</v>
      </c>
      <c r="D12" s="9" t="s">
        <v>13</v>
      </c>
    </row>
    <row r="13" spans="1:4" s="11" customFormat="1" ht="12.75" x14ac:dyDescent="0.2">
      <c r="A13" s="107" t="s">
        <v>113</v>
      </c>
      <c r="B13" s="107"/>
      <c r="C13" s="10" t="s">
        <v>15</v>
      </c>
      <c r="D13" s="10">
        <v>1</v>
      </c>
    </row>
    <row r="15" spans="1:4" x14ac:dyDescent="0.25">
      <c r="A15" s="105" t="s">
        <v>16</v>
      </c>
      <c r="B15" s="105"/>
      <c r="C15" s="105"/>
      <c r="D15" s="105"/>
    </row>
    <row r="16" spans="1:4" x14ac:dyDescent="0.25">
      <c r="A16" s="3"/>
      <c r="B16" s="3"/>
      <c r="C16" s="3"/>
      <c r="D16" s="3"/>
    </row>
    <row r="17" spans="1:4" x14ac:dyDescent="0.25">
      <c r="A17" s="4">
        <v>1</v>
      </c>
      <c r="B17" s="4" t="s">
        <v>17</v>
      </c>
      <c r="C17" s="108" t="s">
        <v>111</v>
      </c>
      <c r="D17" s="108"/>
    </row>
    <row r="18" spans="1:4" x14ac:dyDescent="0.25">
      <c r="A18" s="4">
        <v>2</v>
      </c>
      <c r="B18" s="4" t="s">
        <v>19</v>
      </c>
      <c r="C18" s="108" t="s">
        <v>112</v>
      </c>
      <c r="D18" s="108"/>
    </row>
    <row r="19" spans="1:4" x14ac:dyDescent="0.25">
      <c r="A19" s="4">
        <v>3</v>
      </c>
      <c r="B19" s="4" t="s">
        <v>21</v>
      </c>
      <c r="C19" s="117">
        <v>3431.06</v>
      </c>
      <c r="D19" s="117"/>
    </row>
    <row r="20" spans="1:4" x14ac:dyDescent="0.25">
      <c r="A20" s="4">
        <v>4</v>
      </c>
      <c r="B20" s="4" t="s">
        <v>22</v>
      </c>
      <c r="C20" s="108" t="s">
        <v>196</v>
      </c>
      <c r="D20" s="108"/>
    </row>
    <row r="21" spans="1:4" x14ac:dyDescent="0.25">
      <c r="A21" s="4">
        <v>5</v>
      </c>
      <c r="B21" s="4" t="s">
        <v>23</v>
      </c>
      <c r="C21" s="108"/>
      <c r="D21" s="108"/>
    </row>
    <row r="23" spans="1:4" x14ac:dyDescent="0.25">
      <c r="A23" s="105" t="s">
        <v>24</v>
      </c>
      <c r="B23" s="105"/>
      <c r="C23" s="105"/>
      <c r="D23" s="105"/>
    </row>
    <row r="25" spans="1:4" ht="12.75" customHeight="1" x14ac:dyDescent="0.25">
      <c r="A25" s="12">
        <v>1</v>
      </c>
      <c r="B25" s="110" t="s">
        <v>25</v>
      </c>
      <c r="C25" s="110"/>
      <c r="D25" s="12" t="s">
        <v>26</v>
      </c>
    </row>
    <row r="26" spans="1:4" ht="12.75" customHeight="1" x14ac:dyDescent="0.25">
      <c r="A26" s="8" t="s">
        <v>2</v>
      </c>
      <c r="B26" s="111" t="s">
        <v>27</v>
      </c>
      <c r="C26" s="111"/>
      <c r="D26" s="14">
        <v>3431.06</v>
      </c>
    </row>
    <row r="27" spans="1:4" ht="12.75" customHeight="1" x14ac:dyDescent="0.25">
      <c r="A27" s="8" t="s">
        <v>4</v>
      </c>
      <c r="B27" s="111" t="s">
        <v>28</v>
      </c>
      <c r="C27" s="111"/>
      <c r="D27" s="14">
        <f>D26*0.3</f>
        <v>1029.318</v>
      </c>
    </row>
    <row r="28" spans="1:4" ht="12.75" customHeight="1" x14ac:dyDescent="0.25">
      <c r="A28" s="8" t="s">
        <v>6</v>
      </c>
      <c r="B28" s="111" t="s">
        <v>29</v>
      </c>
      <c r="C28" s="111"/>
      <c r="D28" s="14"/>
    </row>
    <row r="29" spans="1:4" ht="12.75" customHeight="1" x14ac:dyDescent="0.25">
      <c r="A29" s="8" t="s">
        <v>8</v>
      </c>
      <c r="B29" s="111" t="s">
        <v>30</v>
      </c>
      <c r="C29" s="111"/>
      <c r="D29" s="14"/>
    </row>
    <row r="30" spans="1:4" ht="12.75" customHeight="1" x14ac:dyDescent="0.25">
      <c r="A30" s="8" t="s">
        <v>31</v>
      </c>
      <c r="B30" s="111" t="s">
        <v>32</v>
      </c>
      <c r="C30" s="111"/>
      <c r="D30" s="14"/>
    </row>
    <row r="31" spans="1:4" x14ac:dyDescent="0.25">
      <c r="A31" s="8"/>
      <c r="B31" s="111"/>
      <c r="C31" s="111"/>
      <c r="D31" s="14"/>
    </row>
    <row r="32" spans="1:4" ht="12.75" customHeight="1" x14ac:dyDescent="0.25">
      <c r="A32" s="8" t="s">
        <v>33</v>
      </c>
      <c r="B32" s="111" t="s">
        <v>34</v>
      </c>
      <c r="C32" s="111"/>
      <c r="D32" s="14"/>
    </row>
    <row r="33" spans="1:4" ht="12.75" customHeight="1" x14ac:dyDescent="0.25">
      <c r="A33" s="110" t="s">
        <v>35</v>
      </c>
      <c r="B33" s="110"/>
      <c r="C33" s="110"/>
      <c r="D33" s="15">
        <f>SUM(D26:D32)</f>
        <v>4460.3779999999997</v>
      </c>
    </row>
    <row r="36" spans="1:4" x14ac:dyDescent="0.25">
      <c r="A36" s="105" t="s">
        <v>36</v>
      </c>
      <c r="B36" s="105"/>
      <c r="C36" s="105"/>
      <c r="D36" s="105"/>
    </row>
    <row r="37" spans="1:4" x14ac:dyDescent="0.25">
      <c r="A37" s="16"/>
    </row>
    <row r="38" spans="1:4" x14ac:dyDescent="0.25">
      <c r="A38" s="112" t="s">
        <v>37</v>
      </c>
      <c r="B38" s="112"/>
      <c r="C38" s="112"/>
      <c r="D38" s="112"/>
    </row>
    <row r="40" spans="1:4" ht="12.75" customHeight="1" x14ac:dyDescent="0.25">
      <c r="A40" s="12" t="s">
        <v>38</v>
      </c>
      <c r="B40" s="110" t="s">
        <v>39</v>
      </c>
      <c r="C40" s="110"/>
      <c r="D40" s="12" t="s">
        <v>26</v>
      </c>
    </row>
    <row r="41" spans="1:4" x14ac:dyDescent="0.25">
      <c r="A41" s="8" t="s">
        <v>2</v>
      </c>
      <c r="B41" s="13" t="s">
        <v>40</v>
      </c>
      <c r="C41" s="17">
        <f>TRUNC(1/12,4)</f>
        <v>8.3299999999999999E-2</v>
      </c>
      <c r="D41" s="14">
        <f>TRUNC($D$33*C41,2)</f>
        <v>371.54</v>
      </c>
    </row>
    <row r="42" spans="1:4" x14ac:dyDescent="0.25">
      <c r="A42" s="8" t="s">
        <v>4</v>
      </c>
      <c r="B42" s="13" t="s">
        <v>41</v>
      </c>
      <c r="C42" s="17">
        <f>TRUNC(((1+1/3)/12),4)</f>
        <v>0.1111</v>
      </c>
      <c r="D42" s="14">
        <f>TRUNC($D$33*C42,2)</f>
        <v>495.54</v>
      </c>
    </row>
    <row r="43" spans="1:4" ht="12.75" customHeight="1" x14ac:dyDescent="0.25">
      <c r="A43" s="110" t="s">
        <v>35</v>
      </c>
      <c r="B43" s="110"/>
      <c r="C43" s="18">
        <f>SUM(C41:C42)</f>
        <v>0.19440000000000002</v>
      </c>
      <c r="D43" s="19">
        <f>SUM(D41:D42)</f>
        <v>867.08</v>
      </c>
    </row>
    <row r="46" spans="1:4" ht="12.75" customHeight="1" x14ac:dyDescent="0.25">
      <c r="A46" s="113" t="s">
        <v>42</v>
      </c>
      <c r="B46" s="113"/>
      <c r="C46" s="113"/>
      <c r="D46" s="113"/>
    </row>
    <row r="48" spans="1:4" x14ac:dyDescent="0.25">
      <c r="A48" s="12" t="s">
        <v>43</v>
      </c>
      <c r="B48" s="12" t="s">
        <v>44</v>
      </c>
      <c r="C48" s="12" t="s">
        <v>45</v>
      </c>
      <c r="D48" s="12" t="s">
        <v>26</v>
      </c>
    </row>
    <row r="49" spans="1:4" x14ac:dyDescent="0.25">
      <c r="A49" s="8" t="s">
        <v>2</v>
      </c>
      <c r="B49" s="13" t="s">
        <v>46</v>
      </c>
      <c r="C49" s="20">
        <v>0.2</v>
      </c>
      <c r="D49" s="14">
        <f t="shared" ref="D49:D56" si="0">TRUNC(($D$33+$D$43)*C49,2)</f>
        <v>1065.49</v>
      </c>
    </row>
    <row r="50" spans="1:4" x14ac:dyDescent="0.25">
      <c r="A50" s="8" t="s">
        <v>4</v>
      </c>
      <c r="B50" s="13" t="s">
        <v>47</v>
      </c>
      <c r="C50" s="20">
        <v>2.5000000000000001E-2</v>
      </c>
      <c r="D50" s="14">
        <f t="shared" si="0"/>
        <v>133.18</v>
      </c>
    </row>
    <row r="51" spans="1:4" x14ac:dyDescent="0.25">
      <c r="A51" s="8" t="s">
        <v>6</v>
      </c>
      <c r="B51" s="13" t="s">
        <v>48</v>
      </c>
      <c r="C51" s="21">
        <v>0.03</v>
      </c>
      <c r="D51" s="14">
        <f t="shared" si="0"/>
        <v>159.82</v>
      </c>
    </row>
    <row r="52" spans="1:4" x14ac:dyDescent="0.25">
      <c r="A52" s="8" t="s">
        <v>8</v>
      </c>
      <c r="B52" s="13" t="s">
        <v>49</v>
      </c>
      <c r="C52" s="20">
        <v>1.4999999999999999E-2</v>
      </c>
      <c r="D52" s="14">
        <f t="shared" si="0"/>
        <v>79.91</v>
      </c>
    </row>
    <row r="53" spans="1:4" x14ac:dyDescent="0.25">
      <c r="A53" s="8" t="s">
        <v>31</v>
      </c>
      <c r="B53" s="13" t="s">
        <v>50</v>
      </c>
      <c r="C53" s="20">
        <v>0.01</v>
      </c>
      <c r="D53" s="14">
        <f t="shared" si="0"/>
        <v>53.27</v>
      </c>
    </row>
    <row r="54" spans="1:4" x14ac:dyDescent="0.25">
      <c r="A54" s="8" t="s">
        <v>51</v>
      </c>
      <c r="B54" s="13" t="s">
        <v>52</v>
      </c>
      <c r="C54" s="20">
        <v>6.0000000000000001E-3</v>
      </c>
      <c r="D54" s="14">
        <f t="shared" si="0"/>
        <v>31.96</v>
      </c>
    </row>
    <row r="55" spans="1:4" x14ac:dyDescent="0.25">
      <c r="A55" s="8" t="s">
        <v>33</v>
      </c>
      <c r="B55" s="13" t="s">
        <v>53</v>
      </c>
      <c r="C55" s="20">
        <v>2E-3</v>
      </c>
      <c r="D55" s="14">
        <f t="shared" si="0"/>
        <v>10.65</v>
      </c>
    </row>
    <row r="56" spans="1:4" x14ac:dyDescent="0.25">
      <c r="A56" s="8" t="s">
        <v>54</v>
      </c>
      <c r="B56" s="13" t="s">
        <v>55</v>
      </c>
      <c r="C56" s="20">
        <v>0.08</v>
      </c>
      <c r="D56" s="14">
        <f t="shared" si="0"/>
        <v>426.19</v>
      </c>
    </row>
    <row r="57" spans="1:4" ht="12.75" customHeight="1" x14ac:dyDescent="0.25">
      <c r="A57" s="110" t="s">
        <v>56</v>
      </c>
      <c r="B57" s="110"/>
      <c r="C57" s="22">
        <f>SUM(C49:C56)</f>
        <v>0.36800000000000005</v>
      </c>
      <c r="D57" s="19">
        <f>SUM(D49:D56)</f>
        <v>1960.4700000000003</v>
      </c>
    </row>
    <row r="60" spans="1:4" x14ac:dyDescent="0.25">
      <c r="A60" s="112" t="s">
        <v>57</v>
      </c>
      <c r="B60" s="112"/>
      <c r="C60" s="112"/>
      <c r="D60" s="112"/>
    </row>
    <row r="62" spans="1:4" ht="12.75" customHeight="1" x14ac:dyDescent="0.25">
      <c r="A62" s="12" t="s">
        <v>58</v>
      </c>
      <c r="B62" s="114" t="s">
        <v>59</v>
      </c>
      <c r="C62" s="114"/>
      <c r="D62" s="12" t="s">
        <v>26</v>
      </c>
    </row>
    <row r="63" spans="1:4" ht="12.75" customHeight="1" x14ac:dyDescent="0.25">
      <c r="A63" s="8" t="s">
        <v>2</v>
      </c>
      <c r="B63" s="111" t="s">
        <v>60</v>
      </c>
      <c r="C63" s="111"/>
      <c r="D63" s="14">
        <f>IF((26*2*4.9)&gt;(D26*0.06),(26*2*4.9)-(D26*0.06),0)</f>
        <v>48.93640000000002</v>
      </c>
    </row>
    <row r="64" spans="1:4" ht="12.75" customHeight="1" x14ac:dyDescent="0.25">
      <c r="A64" s="8" t="s">
        <v>4</v>
      </c>
      <c r="B64" s="111" t="s">
        <v>61</v>
      </c>
      <c r="C64" s="111"/>
      <c r="D64" s="14">
        <f>22*20.49*0.95</f>
        <v>428.24099999999993</v>
      </c>
    </row>
    <row r="65" spans="1:5" ht="12.75" customHeight="1" x14ac:dyDescent="0.25">
      <c r="A65" s="8" t="s">
        <v>6</v>
      </c>
      <c r="B65" s="111" t="s">
        <v>62</v>
      </c>
      <c r="C65" s="111"/>
      <c r="D65" s="14"/>
    </row>
    <row r="66" spans="1:5" ht="12.75" customHeight="1" x14ac:dyDescent="0.25">
      <c r="A66" s="8" t="s">
        <v>8</v>
      </c>
      <c r="B66" s="111" t="s">
        <v>34</v>
      </c>
      <c r="C66" s="111"/>
      <c r="D66" s="14"/>
    </row>
    <row r="67" spans="1:5" ht="12.75" customHeight="1" x14ac:dyDescent="0.25">
      <c r="A67" s="110" t="s">
        <v>35</v>
      </c>
      <c r="B67" s="110"/>
      <c r="C67" s="110"/>
      <c r="D67" s="19">
        <f>SUM(D63:D66)</f>
        <v>477.17739999999992</v>
      </c>
    </row>
    <row r="70" spans="1:5" x14ac:dyDescent="0.25">
      <c r="A70" s="112" t="s">
        <v>63</v>
      </c>
      <c r="B70" s="112"/>
      <c r="C70" s="112"/>
      <c r="D70" s="112"/>
    </row>
    <row r="72" spans="1:5" ht="12.75" customHeight="1" x14ac:dyDescent="0.25">
      <c r="A72" s="12">
        <v>2</v>
      </c>
      <c r="B72" s="114" t="s">
        <v>64</v>
      </c>
      <c r="C72" s="114"/>
      <c r="D72" s="12" t="s">
        <v>26</v>
      </c>
    </row>
    <row r="73" spans="1:5" ht="12.75" customHeight="1" x14ac:dyDescent="0.25">
      <c r="A73" s="8" t="s">
        <v>38</v>
      </c>
      <c r="B73" s="111" t="s">
        <v>39</v>
      </c>
      <c r="C73" s="111"/>
      <c r="D73" s="23">
        <f>D43</f>
        <v>867.08</v>
      </c>
    </row>
    <row r="74" spans="1:5" ht="12.75" customHeight="1" x14ac:dyDescent="0.25">
      <c r="A74" s="8" t="s">
        <v>43</v>
      </c>
      <c r="B74" s="111" t="s">
        <v>44</v>
      </c>
      <c r="C74" s="111"/>
      <c r="D74" s="23">
        <f>D57</f>
        <v>1960.4700000000003</v>
      </c>
    </row>
    <row r="75" spans="1:5" ht="12.75" customHeight="1" x14ac:dyDescent="0.25">
      <c r="A75" s="8" t="s">
        <v>58</v>
      </c>
      <c r="B75" s="111" t="s">
        <v>59</v>
      </c>
      <c r="C75" s="111"/>
      <c r="D75" s="23">
        <f>D67</f>
        <v>477.17739999999992</v>
      </c>
    </row>
    <row r="76" spans="1:5" ht="12.75" customHeight="1" x14ac:dyDescent="0.25">
      <c r="A76" s="110" t="s">
        <v>35</v>
      </c>
      <c r="B76" s="110"/>
      <c r="C76" s="110"/>
      <c r="D76" s="19">
        <f>SUM(D73:D75)</f>
        <v>3304.7274000000002</v>
      </c>
    </row>
    <row r="77" spans="1:5" x14ac:dyDescent="0.25">
      <c r="A77" s="24"/>
      <c r="E77" s="25"/>
    </row>
    <row r="79" spans="1:5" x14ac:dyDescent="0.25">
      <c r="A79" s="105" t="s">
        <v>65</v>
      </c>
      <c r="B79" s="105"/>
      <c r="C79" s="105"/>
      <c r="D79" s="105"/>
      <c r="E79" s="26"/>
    </row>
    <row r="80" spans="1:5" ht="12.75" customHeight="1" x14ac:dyDescent="0.25">
      <c r="E80" s="25"/>
    </row>
    <row r="81" spans="1:4" ht="12.75" customHeight="1" x14ac:dyDescent="0.25">
      <c r="A81" s="12">
        <v>3</v>
      </c>
      <c r="B81" s="114" t="s">
        <v>66</v>
      </c>
      <c r="C81" s="114"/>
      <c r="D81" s="12" t="s">
        <v>26</v>
      </c>
    </row>
    <row r="82" spans="1:4" x14ac:dyDescent="0.25">
      <c r="A82" s="8" t="s">
        <v>2</v>
      </c>
      <c r="B82" s="27" t="s">
        <v>67</v>
      </c>
      <c r="C82" s="20">
        <f>TRUNC(((1/12)*5%),4)</f>
        <v>4.1000000000000003E-3</v>
      </c>
      <c r="D82" s="14">
        <f>TRUNC($D$33*C82,2)</f>
        <v>18.28</v>
      </c>
    </row>
    <row r="83" spans="1:4" x14ac:dyDescent="0.25">
      <c r="A83" s="8" t="s">
        <v>4</v>
      </c>
      <c r="B83" s="27" t="s">
        <v>68</v>
      </c>
      <c r="C83" s="20">
        <v>0.08</v>
      </c>
      <c r="D83" s="14">
        <f>TRUNC(D82*C83,2)</f>
        <v>1.46</v>
      </c>
    </row>
    <row r="84" spans="1:4" x14ac:dyDescent="0.25">
      <c r="A84" s="8" t="s">
        <v>6</v>
      </c>
      <c r="B84" s="27" t="s">
        <v>69</v>
      </c>
      <c r="C84" s="20">
        <f>TRUNC(8%*5%*40%,4)</f>
        <v>1.6000000000000001E-3</v>
      </c>
      <c r="D84" s="14">
        <f>TRUNC($D$33*C84,2)</f>
        <v>7.13</v>
      </c>
    </row>
    <row r="85" spans="1:4" x14ac:dyDescent="0.25">
      <c r="A85" s="8" t="s">
        <v>8</v>
      </c>
      <c r="B85" s="27" t="s">
        <v>70</v>
      </c>
      <c r="C85" s="20">
        <f>TRUNC(((7/30)/12)*95%,4)</f>
        <v>1.84E-2</v>
      </c>
      <c r="D85" s="14">
        <f>TRUNC($D$33*C85,2)</f>
        <v>82.07</v>
      </c>
    </row>
    <row r="86" spans="1:4" ht="25.5" x14ac:dyDescent="0.25">
      <c r="A86" s="8" t="s">
        <v>31</v>
      </c>
      <c r="B86" s="27" t="s">
        <v>71</v>
      </c>
      <c r="C86" s="20">
        <f>C57</f>
        <v>0.36800000000000005</v>
      </c>
      <c r="D86" s="14">
        <f>TRUNC(D85*C86,2)</f>
        <v>30.2</v>
      </c>
    </row>
    <row r="87" spans="1:4" x14ac:dyDescent="0.25">
      <c r="A87" s="8" t="s">
        <v>51</v>
      </c>
      <c r="B87" s="27" t="s">
        <v>72</v>
      </c>
      <c r="C87" s="20">
        <f>TRUNC(8%*95%*40%,4)</f>
        <v>3.04E-2</v>
      </c>
      <c r="D87" s="14">
        <f>TRUNC($D$33*C87,2)</f>
        <v>135.59</v>
      </c>
    </row>
    <row r="88" spans="1:4" ht="12.75" customHeight="1" x14ac:dyDescent="0.25">
      <c r="A88" s="110" t="s">
        <v>35</v>
      </c>
      <c r="B88" s="110"/>
      <c r="C88" s="110"/>
      <c r="D88" s="19">
        <f>SUM(D82:D87)</f>
        <v>274.73</v>
      </c>
    </row>
    <row r="91" spans="1:4" x14ac:dyDescent="0.25">
      <c r="A91" s="105" t="s">
        <v>73</v>
      </c>
      <c r="B91" s="105"/>
      <c r="C91" s="105"/>
      <c r="D91" s="105"/>
    </row>
    <row r="94" spans="1:4" x14ac:dyDescent="0.25">
      <c r="A94" s="112" t="s">
        <v>74</v>
      </c>
      <c r="B94" s="112"/>
      <c r="C94" s="112"/>
      <c r="D94" s="112"/>
    </row>
    <row r="95" spans="1:4" x14ac:dyDescent="0.25">
      <c r="A95" s="16"/>
    </row>
    <row r="96" spans="1:4" ht="12.75" customHeight="1" x14ac:dyDescent="0.25">
      <c r="A96" s="12" t="s">
        <v>75</v>
      </c>
      <c r="B96" s="114" t="s">
        <v>76</v>
      </c>
      <c r="C96" s="114"/>
      <c r="D96" s="12" t="s">
        <v>26</v>
      </c>
    </row>
    <row r="97" spans="1:6" x14ac:dyDescent="0.25">
      <c r="A97" s="8" t="s">
        <v>2</v>
      </c>
      <c r="B97" s="13" t="s">
        <v>77</v>
      </c>
      <c r="C97" s="20">
        <f>TRUNC(((1+1/3)/12)/12,4)</f>
        <v>9.1999999999999998E-3</v>
      </c>
      <c r="D97" s="14">
        <f t="shared" ref="D97:D102" si="1">TRUNC(($D$33+$D$76+$D$88)*C97,2)</f>
        <v>73.959999999999994</v>
      </c>
    </row>
    <row r="98" spans="1:6" x14ac:dyDescent="0.25">
      <c r="A98" s="8" t="s">
        <v>4</v>
      </c>
      <c r="B98" s="13" t="s">
        <v>78</v>
      </c>
      <c r="C98" s="20">
        <f>TRUNC(((2/30)/12),4)</f>
        <v>5.4999999999999997E-3</v>
      </c>
      <c r="D98" s="14">
        <f t="shared" si="1"/>
        <v>44.21</v>
      </c>
    </row>
    <row r="99" spans="1:6" x14ac:dyDescent="0.25">
      <c r="A99" s="8" t="s">
        <v>6</v>
      </c>
      <c r="B99" s="13" t="s">
        <v>79</v>
      </c>
      <c r="C99" s="20">
        <f>TRUNC(((5/30)/12)*2%,4)</f>
        <v>2.0000000000000001E-4</v>
      </c>
      <c r="D99" s="14">
        <f t="shared" si="1"/>
        <v>1.6</v>
      </c>
    </row>
    <row r="100" spans="1:6" x14ac:dyDescent="0.25">
      <c r="A100" s="8" t="s">
        <v>8</v>
      </c>
      <c r="B100" s="13" t="s">
        <v>80</v>
      </c>
      <c r="C100" s="20">
        <f>TRUNC(((15/30)/12)*8%,4)</f>
        <v>3.3E-3</v>
      </c>
      <c r="D100" s="14">
        <f t="shared" si="1"/>
        <v>26.53</v>
      </c>
    </row>
    <row r="101" spans="1:6" x14ac:dyDescent="0.25">
      <c r="A101" s="8" t="s">
        <v>31</v>
      </c>
      <c r="B101" s="13" t="s">
        <v>81</v>
      </c>
      <c r="C101" s="20">
        <f>((1+1/3)/12)*3%*(4/12)</f>
        <v>1.1111111111111109E-3</v>
      </c>
      <c r="D101" s="14">
        <f t="shared" si="1"/>
        <v>8.93</v>
      </c>
    </row>
    <row r="102" spans="1:6" x14ac:dyDescent="0.25">
      <c r="A102" s="8" t="s">
        <v>51</v>
      </c>
      <c r="B102" s="13" t="s">
        <v>82</v>
      </c>
      <c r="C102" s="20"/>
      <c r="D102" s="14">
        <f t="shared" si="1"/>
        <v>0</v>
      </c>
    </row>
    <row r="103" spans="1:6" ht="12.75" customHeight="1" x14ac:dyDescent="0.25">
      <c r="A103" s="110" t="s">
        <v>56</v>
      </c>
      <c r="B103" s="110"/>
      <c r="C103" s="110"/>
      <c r="D103" s="19">
        <f>SUM(D97:D102)</f>
        <v>155.22999999999999</v>
      </c>
      <c r="E103" s="26"/>
      <c r="F103" s="26"/>
    </row>
    <row r="106" spans="1:6" x14ac:dyDescent="0.25">
      <c r="A106" s="112" t="s">
        <v>83</v>
      </c>
      <c r="B106" s="112"/>
      <c r="C106" s="112"/>
      <c r="D106" s="112"/>
    </row>
    <row r="107" spans="1:6" x14ac:dyDescent="0.25">
      <c r="A107" s="16"/>
    </row>
    <row r="108" spans="1:6" ht="12.75" customHeight="1" x14ac:dyDescent="0.25">
      <c r="A108" s="12" t="s">
        <v>84</v>
      </c>
      <c r="B108" s="114" t="s">
        <v>85</v>
      </c>
      <c r="C108" s="114"/>
      <c r="D108" s="12" t="s">
        <v>26</v>
      </c>
    </row>
    <row r="109" spans="1:6" ht="12.75" customHeight="1" x14ac:dyDescent="0.25">
      <c r="A109" s="8" t="s">
        <v>2</v>
      </c>
      <c r="B109" s="111" t="s">
        <v>86</v>
      </c>
      <c r="C109" s="111"/>
      <c r="D109" s="14">
        <f>((D33+D76+D88)/220)*22*0</f>
        <v>0</v>
      </c>
    </row>
    <row r="110" spans="1:6" ht="12.75" customHeight="1" x14ac:dyDescent="0.25">
      <c r="A110" s="110" t="s">
        <v>35</v>
      </c>
      <c r="B110" s="110"/>
      <c r="C110" s="110"/>
      <c r="D110" s="19">
        <f>SUM(D109)</f>
        <v>0</v>
      </c>
    </row>
    <row r="113" spans="1:4" x14ac:dyDescent="0.25">
      <c r="A113" s="112" t="s">
        <v>87</v>
      </c>
      <c r="B113" s="112"/>
      <c r="C113" s="112"/>
      <c r="D113" s="112"/>
    </row>
    <row r="114" spans="1:4" x14ac:dyDescent="0.25">
      <c r="A114" s="16"/>
    </row>
    <row r="115" spans="1:4" ht="12.75" customHeight="1" x14ac:dyDescent="0.25">
      <c r="A115" s="12">
        <v>4</v>
      </c>
      <c r="B115" s="110" t="s">
        <v>88</v>
      </c>
      <c r="C115" s="110"/>
      <c r="D115" s="12" t="s">
        <v>26</v>
      </c>
    </row>
    <row r="116" spans="1:4" ht="12.75" customHeight="1" x14ac:dyDescent="0.25">
      <c r="A116" s="8" t="s">
        <v>75</v>
      </c>
      <c r="B116" s="111" t="s">
        <v>76</v>
      </c>
      <c r="C116" s="111"/>
      <c r="D116" s="23">
        <f>D103</f>
        <v>155.22999999999999</v>
      </c>
    </row>
    <row r="117" spans="1:4" ht="12.75" customHeight="1" x14ac:dyDescent="0.25">
      <c r="A117" s="8" t="s">
        <v>84</v>
      </c>
      <c r="B117" s="111" t="s">
        <v>85</v>
      </c>
      <c r="C117" s="111"/>
      <c r="D117" s="23">
        <f>D110</f>
        <v>0</v>
      </c>
    </row>
    <row r="118" spans="1:4" ht="12.75" customHeight="1" x14ac:dyDescent="0.25">
      <c r="A118" s="110" t="s">
        <v>35</v>
      </c>
      <c r="B118" s="110"/>
      <c r="C118" s="110"/>
      <c r="D118" s="19">
        <f>SUM(D116:D117)</f>
        <v>155.22999999999999</v>
      </c>
    </row>
    <row r="121" spans="1:4" x14ac:dyDescent="0.25">
      <c r="A121" s="105" t="s">
        <v>89</v>
      </c>
      <c r="B121" s="105"/>
      <c r="C121" s="105"/>
      <c r="D121" s="105"/>
    </row>
    <row r="123" spans="1:4" ht="12.75" customHeight="1" x14ac:dyDescent="0.25">
      <c r="A123" s="12">
        <v>5</v>
      </c>
      <c r="B123" s="115" t="s">
        <v>90</v>
      </c>
      <c r="C123" s="115"/>
      <c r="D123" s="12" t="s">
        <v>26</v>
      </c>
    </row>
    <row r="124" spans="1:4" x14ac:dyDescent="0.25">
      <c r="A124" s="8" t="s">
        <v>2</v>
      </c>
      <c r="B124" s="13" t="s">
        <v>91</v>
      </c>
      <c r="C124" s="13"/>
      <c r="D124" s="14">
        <v>66.040000000000006</v>
      </c>
    </row>
    <row r="125" spans="1:4" x14ac:dyDescent="0.25">
      <c r="A125" s="8" t="s">
        <v>4</v>
      </c>
      <c r="B125" s="13" t="s">
        <v>92</v>
      </c>
      <c r="C125" s="13"/>
      <c r="D125" s="14">
        <v>61.36</v>
      </c>
    </row>
    <row r="126" spans="1:4" x14ac:dyDescent="0.25">
      <c r="A126" s="8" t="s">
        <v>6</v>
      </c>
      <c r="B126" s="13" t="s">
        <v>93</v>
      </c>
      <c r="C126" s="13"/>
      <c r="D126" s="14">
        <v>40.22</v>
      </c>
    </row>
    <row r="127" spans="1:4" x14ac:dyDescent="0.25">
      <c r="A127" s="8" t="s">
        <v>8</v>
      </c>
      <c r="B127" s="13" t="s">
        <v>34</v>
      </c>
      <c r="C127" s="13"/>
      <c r="D127" s="14"/>
    </row>
    <row r="128" spans="1:4" ht="12.75" customHeight="1" x14ac:dyDescent="0.25">
      <c r="A128" s="110" t="s">
        <v>56</v>
      </c>
      <c r="B128" s="110"/>
      <c r="C128" s="110"/>
      <c r="D128" s="15">
        <f>SUM(D124:D127)</f>
        <v>167.62</v>
      </c>
    </row>
    <row r="131" spans="1:4" x14ac:dyDescent="0.25">
      <c r="A131" s="105" t="s">
        <v>94</v>
      </c>
      <c r="B131" s="105"/>
      <c r="C131" s="105"/>
      <c r="D131" s="105"/>
    </row>
    <row r="133" spans="1:4" x14ac:dyDescent="0.25">
      <c r="A133" s="12">
        <v>6</v>
      </c>
      <c r="B133" s="28" t="s">
        <v>95</v>
      </c>
      <c r="C133" s="12" t="s">
        <v>45</v>
      </c>
      <c r="D133" s="12" t="s">
        <v>26</v>
      </c>
    </row>
    <row r="134" spans="1:4" x14ac:dyDescent="0.25">
      <c r="A134" s="8" t="s">
        <v>2</v>
      </c>
      <c r="B134" s="13" t="s">
        <v>96</v>
      </c>
      <c r="C134" s="20">
        <v>0.05</v>
      </c>
      <c r="D134" s="23">
        <f>D154*C134</f>
        <v>418.13427000000001</v>
      </c>
    </row>
    <row r="135" spans="1:4" x14ac:dyDescent="0.25">
      <c r="A135" s="8" t="s">
        <v>4</v>
      </c>
      <c r="B135" s="13" t="s">
        <v>97</v>
      </c>
      <c r="C135" s="20">
        <v>0.06</v>
      </c>
      <c r="D135" s="14">
        <f>(D154+D134)*C135</f>
        <v>526.84918019999998</v>
      </c>
    </row>
    <row r="136" spans="1:4" x14ac:dyDescent="0.25">
      <c r="A136" s="8" t="s">
        <v>6</v>
      </c>
      <c r="B136" s="13" t="s">
        <v>98</v>
      </c>
      <c r="C136" s="17">
        <f>SUM(C137:C142)</f>
        <v>8.6499999999999994E-2</v>
      </c>
      <c r="D136" s="14">
        <f>(D154+D134+D135)*C136/(1-C136)</f>
        <v>881.35014290344839</v>
      </c>
    </row>
    <row r="137" spans="1:4" x14ac:dyDescent="0.25">
      <c r="A137" s="8"/>
      <c r="B137" s="13" t="s">
        <v>99</v>
      </c>
      <c r="C137" s="20"/>
      <c r="D137" s="23">
        <f t="shared" ref="D137:D142" si="2">$D$156*C137</f>
        <v>0</v>
      </c>
    </row>
    <row r="138" spans="1:4" x14ac:dyDescent="0.25">
      <c r="A138" s="8"/>
      <c r="B138" s="13" t="s">
        <v>100</v>
      </c>
      <c r="C138" s="20">
        <v>6.4999999999999997E-3</v>
      </c>
      <c r="D138" s="23">
        <f t="shared" si="2"/>
        <v>66.228623455172411</v>
      </c>
    </row>
    <row r="139" spans="1:4" x14ac:dyDescent="0.25">
      <c r="A139" s="8"/>
      <c r="B139" s="13" t="s">
        <v>101</v>
      </c>
      <c r="C139" s="20">
        <v>0.03</v>
      </c>
      <c r="D139" s="23">
        <f t="shared" si="2"/>
        <v>305.67056979310348</v>
      </c>
    </row>
    <row r="140" spans="1:4" x14ac:dyDescent="0.25">
      <c r="A140" s="8"/>
      <c r="B140" s="13" t="s">
        <v>102</v>
      </c>
      <c r="C140" s="65"/>
      <c r="D140" s="23">
        <f t="shared" si="2"/>
        <v>0</v>
      </c>
    </row>
    <row r="141" spans="1:4" x14ac:dyDescent="0.25">
      <c r="A141" s="8"/>
      <c r="B141" s="13" t="s">
        <v>103</v>
      </c>
      <c r="C141" s="20"/>
      <c r="D141" s="23">
        <f t="shared" si="2"/>
        <v>0</v>
      </c>
    </row>
    <row r="142" spans="1:4" x14ac:dyDescent="0.25">
      <c r="A142" s="8"/>
      <c r="B142" s="13" t="s">
        <v>104</v>
      </c>
      <c r="C142" s="20">
        <v>0.05</v>
      </c>
      <c r="D142" s="23">
        <f t="shared" si="2"/>
        <v>509.45094965517251</v>
      </c>
    </row>
    <row r="143" spans="1:4" ht="13.5" customHeight="1" x14ac:dyDescent="0.25">
      <c r="A143" s="116" t="s">
        <v>56</v>
      </c>
      <c r="B143" s="116"/>
      <c r="C143" s="29">
        <f>ROUND((1+C135)*(1+C134)/(1-C136)-1,4)</f>
        <v>0.21840000000000001</v>
      </c>
      <c r="D143" s="19">
        <f>SUM(D134:D136)</f>
        <v>1826.3335931034485</v>
      </c>
    </row>
    <row r="146" spans="1:4" x14ac:dyDescent="0.25">
      <c r="A146" s="105" t="s">
        <v>105</v>
      </c>
      <c r="B146" s="105"/>
      <c r="C146" s="105"/>
      <c r="D146" s="105"/>
    </row>
    <row r="148" spans="1:4" ht="12.75" customHeight="1" x14ac:dyDescent="0.25">
      <c r="A148" s="12"/>
      <c r="B148" s="110" t="s">
        <v>106</v>
      </c>
      <c r="C148" s="110"/>
      <c r="D148" s="12" t="s">
        <v>26</v>
      </c>
    </row>
    <row r="149" spans="1:4" ht="12.75" customHeight="1" x14ac:dyDescent="0.25">
      <c r="A149" s="12" t="s">
        <v>2</v>
      </c>
      <c r="B149" s="111" t="s">
        <v>24</v>
      </c>
      <c r="C149" s="111"/>
      <c r="D149" s="30">
        <f>D33</f>
        <v>4460.3779999999997</v>
      </c>
    </row>
    <row r="150" spans="1:4" ht="12.75" customHeight="1" x14ac:dyDescent="0.25">
      <c r="A150" s="12" t="s">
        <v>4</v>
      </c>
      <c r="B150" s="111" t="s">
        <v>36</v>
      </c>
      <c r="C150" s="111"/>
      <c r="D150" s="30">
        <f>D76</f>
        <v>3304.7274000000002</v>
      </c>
    </row>
    <row r="151" spans="1:4" ht="12.75" customHeight="1" x14ac:dyDescent="0.25">
      <c r="A151" s="12" t="s">
        <v>6</v>
      </c>
      <c r="B151" s="111" t="s">
        <v>65</v>
      </c>
      <c r="C151" s="111"/>
      <c r="D151" s="30">
        <f>D88</f>
        <v>274.73</v>
      </c>
    </row>
    <row r="152" spans="1:4" ht="12.75" customHeight="1" x14ac:dyDescent="0.25">
      <c r="A152" s="12" t="s">
        <v>8</v>
      </c>
      <c r="B152" s="111" t="s">
        <v>73</v>
      </c>
      <c r="C152" s="111"/>
      <c r="D152" s="30">
        <f>D118</f>
        <v>155.22999999999999</v>
      </c>
    </row>
    <row r="153" spans="1:4" ht="12.75" customHeight="1" x14ac:dyDescent="0.25">
      <c r="A153" s="12" t="s">
        <v>31</v>
      </c>
      <c r="B153" s="111" t="s">
        <v>89</v>
      </c>
      <c r="C153" s="111"/>
      <c r="D153" s="30">
        <f>D128</f>
        <v>167.62</v>
      </c>
    </row>
    <row r="154" spans="1:4" ht="12.75" customHeight="1" x14ac:dyDescent="0.25">
      <c r="A154" s="110" t="s">
        <v>107</v>
      </c>
      <c r="B154" s="110"/>
      <c r="C154" s="110"/>
      <c r="D154" s="31">
        <f>SUM(D149:D153)</f>
        <v>8362.6854000000003</v>
      </c>
    </row>
    <row r="155" spans="1:4" ht="12.75" customHeight="1" x14ac:dyDescent="0.25">
      <c r="A155" s="12" t="s">
        <v>51</v>
      </c>
      <c r="B155" s="111" t="s">
        <v>108</v>
      </c>
      <c r="C155" s="111"/>
      <c r="D155" s="32">
        <f>D143</f>
        <v>1826.3335931034485</v>
      </c>
    </row>
    <row r="156" spans="1:4" ht="12.75" customHeight="1" x14ac:dyDescent="0.25">
      <c r="A156" s="110" t="s">
        <v>109</v>
      </c>
      <c r="B156" s="110"/>
      <c r="C156" s="110"/>
      <c r="D156" s="31">
        <f>SUM(D154:D155)</f>
        <v>10189.018993103449</v>
      </c>
    </row>
  </sheetData>
  <mergeCells count="71">
    <mergeCell ref="A156:C156"/>
    <mergeCell ref="B151:C151"/>
    <mergeCell ref="B152:C152"/>
    <mergeCell ref="B153:C153"/>
    <mergeCell ref="A154:C154"/>
    <mergeCell ref="B155:C155"/>
    <mergeCell ref="A143:B143"/>
    <mergeCell ref="A146:D146"/>
    <mergeCell ref="B148:C148"/>
    <mergeCell ref="B149:C149"/>
    <mergeCell ref="B150:C150"/>
    <mergeCell ref="A118:C118"/>
    <mergeCell ref="A121:D121"/>
    <mergeCell ref="B123:C123"/>
    <mergeCell ref="A128:C128"/>
    <mergeCell ref="A131:D131"/>
    <mergeCell ref="A110:C110"/>
    <mergeCell ref="A113:D113"/>
    <mergeCell ref="B115:C115"/>
    <mergeCell ref="B116:C116"/>
    <mergeCell ref="B117:C117"/>
    <mergeCell ref="B96:C96"/>
    <mergeCell ref="A103:C103"/>
    <mergeCell ref="A106:D106"/>
    <mergeCell ref="B108:C108"/>
    <mergeCell ref="B109:C109"/>
    <mergeCell ref="A79:D79"/>
    <mergeCell ref="B81:C81"/>
    <mergeCell ref="A88:C88"/>
    <mergeCell ref="A91:D91"/>
    <mergeCell ref="A94:D94"/>
    <mergeCell ref="B72:C72"/>
    <mergeCell ref="B73:C73"/>
    <mergeCell ref="B74:C74"/>
    <mergeCell ref="B75:C75"/>
    <mergeCell ref="A76:C76"/>
    <mergeCell ref="B64:C64"/>
    <mergeCell ref="B65:C65"/>
    <mergeCell ref="B66:C66"/>
    <mergeCell ref="A67:C67"/>
    <mergeCell ref="A70:D70"/>
    <mergeCell ref="A46:D46"/>
    <mergeCell ref="A57:B57"/>
    <mergeCell ref="A60:D60"/>
    <mergeCell ref="B62:C62"/>
    <mergeCell ref="B63:C63"/>
    <mergeCell ref="A33:C33"/>
    <mergeCell ref="A36:D36"/>
    <mergeCell ref="A38:D38"/>
    <mergeCell ref="B40:C40"/>
    <mergeCell ref="A43:B43"/>
    <mergeCell ref="B28:C28"/>
    <mergeCell ref="B29:C29"/>
    <mergeCell ref="B30:C30"/>
    <mergeCell ref="B31:C31"/>
    <mergeCell ref="B32:C32"/>
    <mergeCell ref="C21:D21"/>
    <mergeCell ref="A23:D23"/>
    <mergeCell ref="B25:C25"/>
    <mergeCell ref="B26:C26"/>
    <mergeCell ref="B27:C27"/>
    <mergeCell ref="A15:D15"/>
    <mergeCell ref="C17:D17"/>
    <mergeCell ref="C18:D18"/>
    <mergeCell ref="C19:D19"/>
    <mergeCell ref="C20:D20"/>
    <mergeCell ref="A1:D1"/>
    <mergeCell ref="A3:D3"/>
    <mergeCell ref="A10:D10"/>
    <mergeCell ref="A12:B12"/>
    <mergeCell ref="A13:B13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6"/>
  <sheetViews>
    <sheetView topLeftCell="A10" zoomScale="115" zoomScaleNormal="115" workbookViewId="0">
      <selection activeCell="D127" sqref="D127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104" t="s">
        <v>0</v>
      </c>
      <c r="B1" s="104"/>
      <c r="C1" s="104"/>
      <c r="D1" s="104"/>
    </row>
    <row r="2" spans="1:4" ht="15.75" x14ac:dyDescent="0.25">
      <c r="A2" s="2"/>
      <c r="B2" s="2"/>
      <c r="C2" s="2"/>
      <c r="D2" s="2"/>
    </row>
    <row r="3" spans="1:4" x14ac:dyDescent="0.25">
      <c r="A3" s="105" t="s">
        <v>1</v>
      </c>
      <c r="B3" s="105"/>
      <c r="C3" s="105"/>
      <c r="D3" s="105"/>
    </row>
    <row r="4" spans="1:4" x14ac:dyDescent="0.25">
      <c r="A4" s="3"/>
      <c r="B4" s="3"/>
      <c r="C4" s="3"/>
      <c r="D4" s="3"/>
    </row>
    <row r="5" spans="1:4" x14ac:dyDescent="0.25">
      <c r="A5" s="4" t="s">
        <v>2</v>
      </c>
      <c r="B5" s="5" t="s">
        <v>3</v>
      </c>
      <c r="C5" s="6"/>
      <c r="D5" s="7"/>
    </row>
    <row r="6" spans="1:4" x14ac:dyDescent="0.25">
      <c r="A6" s="4" t="s">
        <v>4</v>
      </c>
      <c r="B6" s="5" t="s">
        <v>5</v>
      </c>
      <c r="C6" s="6"/>
      <c r="D6" s="7"/>
    </row>
    <row r="7" spans="1:4" x14ac:dyDescent="0.25">
      <c r="A7" s="4" t="s">
        <v>6</v>
      </c>
      <c r="B7" s="5" t="s">
        <v>7</v>
      </c>
      <c r="C7" s="6"/>
      <c r="D7" s="7"/>
    </row>
    <row r="8" spans="1:4" x14ac:dyDescent="0.25">
      <c r="A8" s="4" t="s">
        <v>8</v>
      </c>
      <c r="B8" s="5" t="s">
        <v>9</v>
      </c>
      <c r="C8" s="6"/>
      <c r="D8" s="7">
        <v>24</v>
      </c>
    </row>
    <row r="10" spans="1:4" x14ac:dyDescent="0.25">
      <c r="A10" s="105" t="s">
        <v>10</v>
      </c>
      <c r="B10" s="105"/>
      <c r="C10" s="105"/>
      <c r="D10" s="105"/>
    </row>
    <row r="11" spans="1:4" x14ac:dyDescent="0.25">
      <c r="A11" s="3"/>
      <c r="B11" s="3"/>
      <c r="C11" s="3"/>
      <c r="D11" s="3"/>
    </row>
    <row r="12" spans="1:4" ht="38.25" customHeight="1" x14ac:dyDescent="0.25">
      <c r="A12" s="106" t="s">
        <v>11</v>
      </c>
      <c r="B12" s="106"/>
      <c r="C12" s="8" t="s">
        <v>12</v>
      </c>
      <c r="D12" s="9" t="s">
        <v>13</v>
      </c>
    </row>
    <row r="13" spans="1:4" s="11" customFormat="1" ht="12.75" x14ac:dyDescent="0.2">
      <c r="A13" s="107" t="s">
        <v>114</v>
      </c>
      <c r="B13" s="107"/>
      <c r="C13" s="10" t="s">
        <v>15</v>
      </c>
      <c r="D13" s="10">
        <v>1</v>
      </c>
    </row>
    <row r="15" spans="1:4" x14ac:dyDescent="0.25">
      <c r="A15" s="105" t="s">
        <v>16</v>
      </c>
      <c r="B15" s="105"/>
      <c r="C15" s="105"/>
      <c r="D15" s="105"/>
    </row>
    <row r="16" spans="1:4" x14ac:dyDescent="0.25">
      <c r="A16" s="3"/>
      <c r="B16" s="3"/>
      <c r="C16" s="3"/>
      <c r="D16" s="3"/>
    </row>
    <row r="17" spans="1:4" x14ac:dyDescent="0.25">
      <c r="A17" s="4">
        <v>1</v>
      </c>
      <c r="B17" s="4" t="s">
        <v>17</v>
      </c>
      <c r="C17" s="108" t="s">
        <v>111</v>
      </c>
      <c r="D17" s="108"/>
    </row>
    <row r="18" spans="1:4" x14ac:dyDescent="0.25">
      <c r="A18" s="4">
        <v>2</v>
      </c>
      <c r="B18" s="4" t="s">
        <v>19</v>
      </c>
      <c r="C18" s="108" t="s">
        <v>112</v>
      </c>
      <c r="D18" s="108"/>
    </row>
    <row r="19" spans="1:4" x14ac:dyDescent="0.25">
      <c r="A19" s="4">
        <v>3</v>
      </c>
      <c r="B19" s="4" t="s">
        <v>21</v>
      </c>
      <c r="C19" s="117">
        <v>3431.06</v>
      </c>
      <c r="D19" s="117"/>
    </row>
    <row r="20" spans="1:4" x14ac:dyDescent="0.25">
      <c r="A20" s="4">
        <v>4</v>
      </c>
      <c r="B20" s="4" t="s">
        <v>22</v>
      </c>
      <c r="C20" s="108" t="s">
        <v>196</v>
      </c>
      <c r="D20" s="108"/>
    </row>
    <row r="21" spans="1:4" x14ac:dyDescent="0.25">
      <c r="A21" s="4">
        <v>5</v>
      </c>
      <c r="B21" s="4" t="s">
        <v>23</v>
      </c>
      <c r="C21" s="108"/>
      <c r="D21" s="108"/>
    </row>
    <row r="23" spans="1:4" x14ac:dyDescent="0.25">
      <c r="A23" s="105" t="s">
        <v>24</v>
      </c>
      <c r="B23" s="105"/>
      <c r="C23" s="105"/>
      <c r="D23" s="105"/>
    </row>
    <row r="25" spans="1:4" ht="12.75" customHeight="1" x14ac:dyDescent="0.25">
      <c r="A25" s="12">
        <v>1</v>
      </c>
      <c r="B25" s="110" t="s">
        <v>25</v>
      </c>
      <c r="C25" s="110"/>
      <c r="D25" s="12" t="s">
        <v>26</v>
      </c>
    </row>
    <row r="26" spans="1:4" ht="12.75" customHeight="1" x14ac:dyDescent="0.25">
      <c r="A26" s="8" t="s">
        <v>2</v>
      </c>
      <c r="B26" s="111" t="s">
        <v>27</v>
      </c>
      <c r="C26" s="111"/>
      <c r="D26" s="14">
        <v>3431.06</v>
      </c>
    </row>
    <row r="27" spans="1:4" ht="12.75" customHeight="1" x14ac:dyDescent="0.25">
      <c r="A27" s="8" t="s">
        <v>4</v>
      </c>
      <c r="B27" s="111" t="s">
        <v>28</v>
      </c>
      <c r="C27" s="111"/>
      <c r="D27" s="14"/>
    </row>
    <row r="28" spans="1:4" ht="12.75" customHeight="1" x14ac:dyDescent="0.25">
      <c r="A28" s="8" t="s">
        <v>6</v>
      </c>
      <c r="B28" s="111" t="s">
        <v>29</v>
      </c>
      <c r="C28" s="111"/>
      <c r="D28" s="14">
        <f>D26*0.2</f>
        <v>686.21199999999999</v>
      </c>
    </row>
    <row r="29" spans="1:4" ht="12.75" customHeight="1" x14ac:dyDescent="0.25">
      <c r="A29" s="8" t="s">
        <v>8</v>
      </c>
      <c r="B29" s="111" t="s">
        <v>30</v>
      </c>
      <c r="C29" s="111"/>
      <c r="D29" s="14"/>
    </row>
    <row r="30" spans="1:4" ht="12.75" customHeight="1" x14ac:dyDescent="0.25">
      <c r="A30" s="8" t="s">
        <v>31</v>
      </c>
      <c r="B30" s="111" t="s">
        <v>32</v>
      </c>
      <c r="C30" s="111"/>
      <c r="D30" s="14"/>
    </row>
    <row r="31" spans="1:4" x14ac:dyDescent="0.25">
      <c r="A31" s="8"/>
      <c r="B31" s="111"/>
      <c r="C31" s="111"/>
      <c r="D31" s="14"/>
    </row>
    <row r="32" spans="1:4" ht="12.75" customHeight="1" x14ac:dyDescent="0.25">
      <c r="A32" s="8" t="s">
        <v>33</v>
      </c>
      <c r="B32" s="111" t="s">
        <v>34</v>
      </c>
      <c r="C32" s="111"/>
      <c r="D32" s="14"/>
    </row>
    <row r="33" spans="1:4" ht="12.75" customHeight="1" x14ac:dyDescent="0.25">
      <c r="A33" s="110" t="s">
        <v>35</v>
      </c>
      <c r="B33" s="110"/>
      <c r="C33" s="110"/>
      <c r="D33" s="15">
        <f>SUM(D26:D32)</f>
        <v>4117.2719999999999</v>
      </c>
    </row>
    <row r="36" spans="1:4" x14ac:dyDescent="0.25">
      <c r="A36" s="105" t="s">
        <v>36</v>
      </c>
      <c r="B36" s="105"/>
      <c r="C36" s="105"/>
      <c r="D36" s="105"/>
    </row>
    <row r="37" spans="1:4" x14ac:dyDescent="0.25">
      <c r="A37" s="16"/>
    </row>
    <row r="38" spans="1:4" x14ac:dyDescent="0.25">
      <c r="A38" s="112" t="s">
        <v>37</v>
      </c>
      <c r="B38" s="112"/>
      <c r="C38" s="112"/>
      <c r="D38" s="112"/>
    </row>
    <row r="40" spans="1:4" ht="12.75" customHeight="1" x14ac:dyDescent="0.25">
      <c r="A40" s="12" t="s">
        <v>38</v>
      </c>
      <c r="B40" s="110" t="s">
        <v>39</v>
      </c>
      <c r="C40" s="110"/>
      <c r="D40" s="12" t="s">
        <v>26</v>
      </c>
    </row>
    <row r="41" spans="1:4" x14ac:dyDescent="0.25">
      <c r="A41" s="8" t="s">
        <v>2</v>
      </c>
      <c r="B41" s="13" t="s">
        <v>40</v>
      </c>
      <c r="C41" s="17">
        <f>TRUNC(1/12,4)</f>
        <v>8.3299999999999999E-2</v>
      </c>
      <c r="D41" s="14">
        <f>TRUNC($D$33*C41,2)</f>
        <v>342.96</v>
      </c>
    </row>
    <row r="42" spans="1:4" x14ac:dyDescent="0.25">
      <c r="A42" s="8" t="s">
        <v>4</v>
      </c>
      <c r="B42" s="13" t="s">
        <v>41</v>
      </c>
      <c r="C42" s="17">
        <f>TRUNC(((1+1/3)/12),4)</f>
        <v>0.1111</v>
      </c>
      <c r="D42" s="14">
        <f>TRUNC($D$33*C42,2)</f>
        <v>457.42</v>
      </c>
    </row>
    <row r="43" spans="1:4" ht="12.75" customHeight="1" x14ac:dyDescent="0.25">
      <c r="A43" s="110" t="s">
        <v>35</v>
      </c>
      <c r="B43" s="110"/>
      <c r="C43" s="18">
        <f>SUM(C41:C42)</f>
        <v>0.19440000000000002</v>
      </c>
      <c r="D43" s="19">
        <f>SUM(D41:D42)</f>
        <v>800.38</v>
      </c>
    </row>
    <row r="46" spans="1:4" ht="12.75" customHeight="1" x14ac:dyDescent="0.25">
      <c r="A46" s="113" t="s">
        <v>42</v>
      </c>
      <c r="B46" s="113"/>
      <c r="C46" s="113"/>
      <c r="D46" s="113"/>
    </row>
    <row r="48" spans="1:4" x14ac:dyDescent="0.25">
      <c r="A48" s="12" t="s">
        <v>43</v>
      </c>
      <c r="B48" s="12" t="s">
        <v>44</v>
      </c>
      <c r="C48" s="12" t="s">
        <v>45</v>
      </c>
      <c r="D48" s="12" t="s">
        <v>26</v>
      </c>
    </row>
    <row r="49" spans="1:4" x14ac:dyDescent="0.25">
      <c r="A49" s="8" t="s">
        <v>2</v>
      </c>
      <c r="B49" s="13" t="s">
        <v>46</v>
      </c>
      <c r="C49" s="20">
        <v>0.2</v>
      </c>
      <c r="D49" s="14">
        <f t="shared" ref="D49:D56" si="0">TRUNC(($D$33+$D$43)*C49,2)</f>
        <v>983.53</v>
      </c>
    </row>
    <row r="50" spans="1:4" x14ac:dyDescent="0.25">
      <c r="A50" s="8" t="s">
        <v>4</v>
      </c>
      <c r="B50" s="13" t="s">
        <v>47</v>
      </c>
      <c r="C50" s="20">
        <v>2.5000000000000001E-2</v>
      </c>
      <c r="D50" s="14">
        <f t="shared" si="0"/>
        <v>122.94</v>
      </c>
    </row>
    <row r="51" spans="1:4" x14ac:dyDescent="0.25">
      <c r="A51" s="8" t="s">
        <v>6</v>
      </c>
      <c r="B51" s="13" t="s">
        <v>48</v>
      </c>
      <c r="C51" s="21">
        <v>0.03</v>
      </c>
      <c r="D51" s="14">
        <f t="shared" si="0"/>
        <v>147.52000000000001</v>
      </c>
    </row>
    <row r="52" spans="1:4" x14ac:dyDescent="0.25">
      <c r="A52" s="8" t="s">
        <v>8</v>
      </c>
      <c r="B52" s="13" t="s">
        <v>49</v>
      </c>
      <c r="C52" s="20">
        <v>1.4999999999999999E-2</v>
      </c>
      <c r="D52" s="14">
        <f t="shared" si="0"/>
        <v>73.760000000000005</v>
      </c>
    </row>
    <row r="53" spans="1:4" x14ac:dyDescent="0.25">
      <c r="A53" s="8" t="s">
        <v>31</v>
      </c>
      <c r="B53" s="13" t="s">
        <v>50</v>
      </c>
      <c r="C53" s="20">
        <v>0.01</v>
      </c>
      <c r="D53" s="14">
        <f t="shared" si="0"/>
        <v>49.17</v>
      </c>
    </row>
    <row r="54" spans="1:4" x14ac:dyDescent="0.25">
      <c r="A54" s="8" t="s">
        <v>51</v>
      </c>
      <c r="B54" s="13" t="s">
        <v>52</v>
      </c>
      <c r="C54" s="20">
        <v>6.0000000000000001E-3</v>
      </c>
      <c r="D54" s="14">
        <f t="shared" si="0"/>
        <v>29.5</v>
      </c>
    </row>
    <row r="55" spans="1:4" x14ac:dyDescent="0.25">
      <c r="A55" s="8" t="s">
        <v>33</v>
      </c>
      <c r="B55" s="13" t="s">
        <v>53</v>
      </c>
      <c r="C55" s="20">
        <v>2E-3</v>
      </c>
      <c r="D55" s="14">
        <f t="shared" si="0"/>
        <v>9.83</v>
      </c>
    </row>
    <row r="56" spans="1:4" x14ac:dyDescent="0.25">
      <c r="A56" s="8" t="s">
        <v>54</v>
      </c>
      <c r="B56" s="13" t="s">
        <v>55</v>
      </c>
      <c r="C56" s="20">
        <v>0.08</v>
      </c>
      <c r="D56" s="14">
        <f t="shared" si="0"/>
        <v>393.41</v>
      </c>
    </row>
    <row r="57" spans="1:4" ht="12.75" customHeight="1" x14ac:dyDescent="0.25">
      <c r="A57" s="110" t="s">
        <v>56</v>
      </c>
      <c r="B57" s="110"/>
      <c r="C57" s="22">
        <f>SUM(C49:C56)</f>
        <v>0.36800000000000005</v>
      </c>
      <c r="D57" s="19">
        <f>SUM(D49:D56)</f>
        <v>1809.66</v>
      </c>
    </row>
    <row r="60" spans="1:4" x14ac:dyDescent="0.25">
      <c r="A60" s="112" t="s">
        <v>57</v>
      </c>
      <c r="B60" s="112"/>
      <c r="C60" s="112"/>
      <c r="D60" s="112"/>
    </row>
    <row r="62" spans="1:4" ht="12.75" customHeight="1" x14ac:dyDescent="0.25">
      <c r="A62" s="12" t="s">
        <v>58</v>
      </c>
      <c r="B62" s="114" t="s">
        <v>59</v>
      </c>
      <c r="C62" s="114"/>
      <c r="D62" s="12" t="s">
        <v>26</v>
      </c>
    </row>
    <row r="63" spans="1:4" ht="12.75" customHeight="1" x14ac:dyDescent="0.25">
      <c r="A63" s="8" t="s">
        <v>2</v>
      </c>
      <c r="B63" s="111" t="s">
        <v>60</v>
      </c>
      <c r="C63" s="111"/>
      <c r="D63" s="14">
        <f>IF((26*2*4.9)&gt;(D26*0.06),(26*2*4.9)-(D26*0.06),0)</f>
        <v>48.93640000000002</v>
      </c>
    </row>
    <row r="64" spans="1:4" ht="12.75" customHeight="1" x14ac:dyDescent="0.25">
      <c r="A64" s="8" t="s">
        <v>4</v>
      </c>
      <c r="B64" s="111" t="s">
        <v>61</v>
      </c>
      <c r="C64" s="111"/>
      <c r="D64" s="14">
        <f>22*20.49*0.95</f>
        <v>428.24099999999993</v>
      </c>
    </row>
    <row r="65" spans="1:5" ht="12.75" customHeight="1" x14ac:dyDescent="0.25">
      <c r="A65" s="8" t="s">
        <v>6</v>
      </c>
      <c r="B65" s="111" t="s">
        <v>62</v>
      </c>
      <c r="C65" s="111"/>
      <c r="D65" s="14"/>
    </row>
    <row r="66" spans="1:5" ht="12.75" customHeight="1" x14ac:dyDescent="0.25">
      <c r="A66" s="8" t="s">
        <v>8</v>
      </c>
      <c r="B66" s="111" t="s">
        <v>34</v>
      </c>
      <c r="C66" s="111"/>
      <c r="D66" s="14"/>
    </row>
    <row r="67" spans="1:5" ht="12.75" customHeight="1" x14ac:dyDescent="0.25">
      <c r="A67" s="110" t="s">
        <v>35</v>
      </c>
      <c r="B67" s="110"/>
      <c r="C67" s="110"/>
      <c r="D67" s="19">
        <f>SUM(D63:D66)</f>
        <v>477.17739999999992</v>
      </c>
    </row>
    <row r="70" spans="1:5" x14ac:dyDescent="0.25">
      <c r="A70" s="112" t="s">
        <v>63</v>
      </c>
      <c r="B70" s="112"/>
      <c r="C70" s="112"/>
      <c r="D70" s="112"/>
    </row>
    <row r="72" spans="1:5" ht="12.75" customHeight="1" x14ac:dyDescent="0.25">
      <c r="A72" s="12">
        <v>2</v>
      </c>
      <c r="B72" s="114" t="s">
        <v>64</v>
      </c>
      <c r="C72" s="114"/>
      <c r="D72" s="12" t="s">
        <v>26</v>
      </c>
    </row>
    <row r="73" spans="1:5" ht="12.75" customHeight="1" x14ac:dyDescent="0.25">
      <c r="A73" s="8" t="s">
        <v>38</v>
      </c>
      <c r="B73" s="111" t="s">
        <v>39</v>
      </c>
      <c r="C73" s="111"/>
      <c r="D73" s="23">
        <f>D43</f>
        <v>800.38</v>
      </c>
    </row>
    <row r="74" spans="1:5" ht="12.75" customHeight="1" x14ac:dyDescent="0.25">
      <c r="A74" s="8" t="s">
        <v>43</v>
      </c>
      <c r="B74" s="111" t="s">
        <v>44</v>
      </c>
      <c r="C74" s="111"/>
      <c r="D74" s="23">
        <f>D57</f>
        <v>1809.66</v>
      </c>
    </row>
    <row r="75" spans="1:5" ht="12.75" customHeight="1" x14ac:dyDescent="0.25">
      <c r="A75" s="8" t="s">
        <v>58</v>
      </c>
      <c r="B75" s="111" t="s">
        <v>59</v>
      </c>
      <c r="C75" s="111"/>
      <c r="D75" s="23">
        <f>D67</f>
        <v>477.17739999999992</v>
      </c>
    </row>
    <row r="76" spans="1:5" ht="12.75" customHeight="1" x14ac:dyDescent="0.25">
      <c r="A76" s="110" t="s">
        <v>35</v>
      </c>
      <c r="B76" s="110"/>
      <c r="C76" s="110"/>
      <c r="D76" s="19">
        <f>SUM(D73:D75)</f>
        <v>3087.2174</v>
      </c>
    </row>
    <row r="77" spans="1:5" x14ac:dyDescent="0.25">
      <c r="A77" s="24"/>
      <c r="E77" s="25"/>
    </row>
    <row r="79" spans="1:5" x14ac:dyDescent="0.25">
      <c r="A79" s="105" t="s">
        <v>65</v>
      </c>
      <c r="B79" s="105"/>
      <c r="C79" s="105"/>
      <c r="D79" s="105"/>
      <c r="E79" s="26"/>
    </row>
    <row r="80" spans="1:5" ht="12.75" customHeight="1" x14ac:dyDescent="0.25">
      <c r="E80" s="25"/>
    </row>
    <row r="81" spans="1:4" ht="12.75" customHeight="1" x14ac:dyDescent="0.25">
      <c r="A81" s="12">
        <v>3</v>
      </c>
      <c r="B81" s="114" t="s">
        <v>66</v>
      </c>
      <c r="C81" s="114"/>
      <c r="D81" s="12" t="s">
        <v>26</v>
      </c>
    </row>
    <row r="82" spans="1:4" x14ac:dyDescent="0.25">
      <c r="A82" s="8" t="s">
        <v>2</v>
      </c>
      <c r="B82" s="27" t="s">
        <v>67</v>
      </c>
      <c r="C82" s="20">
        <f>TRUNC(((1/12)*5%),4)</f>
        <v>4.1000000000000003E-3</v>
      </c>
      <c r="D82" s="14">
        <f>TRUNC($D$33*C82,2)</f>
        <v>16.88</v>
      </c>
    </row>
    <row r="83" spans="1:4" x14ac:dyDescent="0.25">
      <c r="A83" s="8" t="s">
        <v>4</v>
      </c>
      <c r="B83" s="27" t="s">
        <v>68</v>
      </c>
      <c r="C83" s="20">
        <v>0.08</v>
      </c>
      <c r="D83" s="14">
        <f>TRUNC(D82*C83,2)</f>
        <v>1.35</v>
      </c>
    </row>
    <row r="84" spans="1:4" x14ac:dyDescent="0.25">
      <c r="A84" s="8" t="s">
        <v>6</v>
      </c>
      <c r="B84" s="27" t="s">
        <v>69</v>
      </c>
      <c r="C84" s="20">
        <f>TRUNC(8%*5%*40%,4)</f>
        <v>1.6000000000000001E-3</v>
      </c>
      <c r="D84" s="14">
        <f>TRUNC($D$33*C84,2)</f>
        <v>6.58</v>
      </c>
    </row>
    <row r="85" spans="1:4" x14ac:dyDescent="0.25">
      <c r="A85" s="8" t="s">
        <v>8</v>
      </c>
      <c r="B85" s="27" t="s">
        <v>70</v>
      </c>
      <c r="C85" s="20">
        <f>TRUNC(((7/30)/12)*95%,4)</f>
        <v>1.84E-2</v>
      </c>
      <c r="D85" s="14">
        <f>TRUNC($D$33*C85,2)</f>
        <v>75.75</v>
      </c>
    </row>
    <row r="86" spans="1:4" ht="25.5" x14ac:dyDescent="0.25">
      <c r="A86" s="8" t="s">
        <v>31</v>
      </c>
      <c r="B86" s="27" t="s">
        <v>71</v>
      </c>
      <c r="C86" s="20">
        <f>C57</f>
        <v>0.36800000000000005</v>
      </c>
      <c r="D86" s="14">
        <f>TRUNC(D85*C86,2)</f>
        <v>27.87</v>
      </c>
    </row>
    <row r="87" spans="1:4" x14ac:dyDescent="0.25">
      <c r="A87" s="8" t="s">
        <v>51</v>
      </c>
      <c r="B87" s="27" t="s">
        <v>72</v>
      </c>
      <c r="C87" s="20">
        <f>TRUNC(8%*95%*40%,4)</f>
        <v>3.04E-2</v>
      </c>
      <c r="D87" s="14">
        <f>TRUNC($D$33*C87,2)</f>
        <v>125.16</v>
      </c>
    </row>
    <row r="88" spans="1:4" ht="12.75" customHeight="1" x14ac:dyDescent="0.25">
      <c r="A88" s="110" t="s">
        <v>35</v>
      </c>
      <c r="B88" s="110"/>
      <c r="C88" s="110"/>
      <c r="D88" s="19">
        <f>SUM(D82:D87)</f>
        <v>253.59</v>
      </c>
    </row>
    <row r="91" spans="1:4" x14ac:dyDescent="0.25">
      <c r="A91" s="105" t="s">
        <v>73</v>
      </c>
      <c r="B91" s="105"/>
      <c r="C91" s="105"/>
      <c r="D91" s="105"/>
    </row>
    <row r="94" spans="1:4" x14ac:dyDescent="0.25">
      <c r="A94" s="112" t="s">
        <v>74</v>
      </c>
      <c r="B94" s="112"/>
      <c r="C94" s="112"/>
      <c r="D94" s="112"/>
    </row>
    <row r="95" spans="1:4" x14ac:dyDescent="0.25">
      <c r="A95" s="16"/>
    </row>
    <row r="96" spans="1:4" ht="12.75" customHeight="1" x14ac:dyDescent="0.25">
      <c r="A96" s="12" t="s">
        <v>75</v>
      </c>
      <c r="B96" s="114" t="s">
        <v>76</v>
      </c>
      <c r="C96" s="114"/>
      <c r="D96" s="12" t="s">
        <v>26</v>
      </c>
    </row>
    <row r="97" spans="1:6" x14ac:dyDescent="0.25">
      <c r="A97" s="8" t="s">
        <v>2</v>
      </c>
      <c r="B97" s="13" t="s">
        <v>77</v>
      </c>
      <c r="C97" s="20">
        <f>TRUNC(((1+1/3)/12)/12,4)</f>
        <v>9.1999999999999998E-3</v>
      </c>
      <c r="D97" s="14">
        <f t="shared" ref="D97:D102" si="1">TRUNC(($D$33+$D$76+$D$88)*C97,2)</f>
        <v>68.61</v>
      </c>
    </row>
    <row r="98" spans="1:6" x14ac:dyDescent="0.25">
      <c r="A98" s="8" t="s">
        <v>4</v>
      </c>
      <c r="B98" s="13" t="s">
        <v>78</v>
      </c>
      <c r="C98" s="20">
        <f>TRUNC(((2/30)/12),4)</f>
        <v>5.4999999999999997E-3</v>
      </c>
      <c r="D98" s="14">
        <f t="shared" si="1"/>
        <v>41.01</v>
      </c>
    </row>
    <row r="99" spans="1:6" x14ac:dyDescent="0.25">
      <c r="A99" s="8" t="s">
        <v>6</v>
      </c>
      <c r="B99" s="13" t="s">
        <v>79</v>
      </c>
      <c r="C99" s="20">
        <f>TRUNC(((5/30)/12)*2%,4)</f>
        <v>2.0000000000000001E-4</v>
      </c>
      <c r="D99" s="14">
        <f t="shared" si="1"/>
        <v>1.49</v>
      </c>
    </row>
    <row r="100" spans="1:6" x14ac:dyDescent="0.25">
      <c r="A100" s="8" t="s">
        <v>8</v>
      </c>
      <c r="B100" s="13" t="s">
        <v>80</v>
      </c>
      <c r="C100" s="20">
        <f>TRUNC(((15/30)/12)*8%,4)</f>
        <v>3.3E-3</v>
      </c>
      <c r="D100" s="14">
        <f t="shared" si="1"/>
        <v>24.61</v>
      </c>
    </row>
    <row r="101" spans="1:6" x14ac:dyDescent="0.25">
      <c r="A101" s="8" t="s">
        <v>31</v>
      </c>
      <c r="B101" s="13" t="s">
        <v>81</v>
      </c>
      <c r="C101" s="20">
        <f>((1+1/3)/12)*3%*(4/12)</f>
        <v>1.1111111111111109E-3</v>
      </c>
      <c r="D101" s="14">
        <f t="shared" si="1"/>
        <v>8.2799999999999994</v>
      </c>
    </row>
    <row r="102" spans="1:6" x14ac:dyDescent="0.25">
      <c r="A102" s="8" t="s">
        <v>51</v>
      </c>
      <c r="B102" s="13" t="s">
        <v>82</v>
      </c>
      <c r="C102" s="20"/>
      <c r="D102" s="14">
        <f t="shared" si="1"/>
        <v>0</v>
      </c>
    </row>
    <row r="103" spans="1:6" ht="12.75" customHeight="1" x14ac:dyDescent="0.25">
      <c r="A103" s="110" t="s">
        <v>56</v>
      </c>
      <c r="B103" s="110"/>
      <c r="C103" s="110"/>
      <c r="D103" s="19">
        <f>SUM(D97:D102)</f>
        <v>144</v>
      </c>
      <c r="E103" s="26"/>
      <c r="F103" s="26"/>
    </row>
    <row r="106" spans="1:6" x14ac:dyDescent="0.25">
      <c r="A106" s="112" t="s">
        <v>83</v>
      </c>
      <c r="B106" s="112"/>
      <c r="C106" s="112"/>
      <c r="D106" s="112"/>
    </row>
    <row r="107" spans="1:6" x14ac:dyDescent="0.25">
      <c r="A107" s="16"/>
    </row>
    <row r="108" spans="1:6" ht="12.75" customHeight="1" x14ac:dyDescent="0.25">
      <c r="A108" s="12" t="s">
        <v>84</v>
      </c>
      <c r="B108" s="114" t="s">
        <v>85</v>
      </c>
      <c r="C108" s="114"/>
      <c r="D108" s="12" t="s">
        <v>26</v>
      </c>
    </row>
    <row r="109" spans="1:6" ht="12.75" customHeight="1" x14ac:dyDescent="0.25">
      <c r="A109" s="8" t="s">
        <v>2</v>
      </c>
      <c r="B109" s="111" t="s">
        <v>86</v>
      </c>
      <c r="C109" s="111"/>
      <c r="D109" s="14">
        <f>((D33+D76+D88)/220)*22*0</f>
        <v>0</v>
      </c>
    </row>
    <row r="110" spans="1:6" ht="12.75" customHeight="1" x14ac:dyDescent="0.25">
      <c r="A110" s="110" t="s">
        <v>35</v>
      </c>
      <c r="B110" s="110"/>
      <c r="C110" s="110"/>
      <c r="D110" s="19">
        <f>SUM(D109)</f>
        <v>0</v>
      </c>
    </row>
    <row r="113" spans="1:4" x14ac:dyDescent="0.25">
      <c r="A113" s="112" t="s">
        <v>87</v>
      </c>
      <c r="B113" s="112"/>
      <c r="C113" s="112"/>
      <c r="D113" s="112"/>
    </row>
    <row r="114" spans="1:4" x14ac:dyDescent="0.25">
      <c r="A114" s="16"/>
    </row>
    <row r="115" spans="1:4" ht="12.75" customHeight="1" x14ac:dyDescent="0.25">
      <c r="A115" s="12">
        <v>4</v>
      </c>
      <c r="B115" s="110" t="s">
        <v>88</v>
      </c>
      <c r="C115" s="110"/>
      <c r="D115" s="12" t="s">
        <v>26</v>
      </c>
    </row>
    <row r="116" spans="1:4" ht="12.75" customHeight="1" x14ac:dyDescent="0.25">
      <c r="A116" s="8" t="s">
        <v>75</v>
      </c>
      <c r="B116" s="111" t="s">
        <v>76</v>
      </c>
      <c r="C116" s="111"/>
      <c r="D116" s="23">
        <f>D103</f>
        <v>144</v>
      </c>
    </row>
    <row r="117" spans="1:4" ht="12.75" customHeight="1" x14ac:dyDescent="0.25">
      <c r="A117" s="8" t="s">
        <v>84</v>
      </c>
      <c r="B117" s="111" t="s">
        <v>85</v>
      </c>
      <c r="C117" s="111"/>
      <c r="D117" s="23">
        <f>D110</f>
        <v>0</v>
      </c>
    </row>
    <row r="118" spans="1:4" ht="12.75" customHeight="1" x14ac:dyDescent="0.25">
      <c r="A118" s="110" t="s">
        <v>35</v>
      </c>
      <c r="B118" s="110"/>
      <c r="C118" s="110"/>
      <c r="D118" s="19">
        <f>SUM(D116:D117)</f>
        <v>144</v>
      </c>
    </row>
    <row r="121" spans="1:4" x14ac:dyDescent="0.25">
      <c r="A121" s="105" t="s">
        <v>89</v>
      </c>
      <c r="B121" s="105"/>
      <c r="C121" s="105"/>
      <c r="D121" s="105"/>
    </row>
    <row r="123" spans="1:4" ht="12.75" customHeight="1" x14ac:dyDescent="0.25">
      <c r="A123" s="12">
        <v>5</v>
      </c>
      <c r="B123" s="115" t="s">
        <v>90</v>
      </c>
      <c r="C123" s="115"/>
      <c r="D123" s="12" t="s">
        <v>26</v>
      </c>
    </row>
    <row r="124" spans="1:4" x14ac:dyDescent="0.25">
      <c r="A124" s="8" t="s">
        <v>2</v>
      </c>
      <c r="B124" s="13" t="s">
        <v>91</v>
      </c>
      <c r="C124" s="13"/>
      <c r="D124" s="14">
        <v>66.040000000000006</v>
      </c>
    </row>
    <row r="125" spans="1:4" x14ac:dyDescent="0.25">
      <c r="A125" s="8" t="s">
        <v>4</v>
      </c>
      <c r="B125" s="13" t="s">
        <v>92</v>
      </c>
      <c r="C125" s="13"/>
      <c r="D125" s="14">
        <v>61.36</v>
      </c>
    </row>
    <row r="126" spans="1:4" x14ac:dyDescent="0.25">
      <c r="A126" s="8" t="s">
        <v>6</v>
      </c>
      <c r="B126" s="13" t="s">
        <v>93</v>
      </c>
      <c r="C126" s="13"/>
      <c r="D126" s="14">
        <v>40.22</v>
      </c>
    </row>
    <row r="127" spans="1:4" x14ac:dyDescent="0.25">
      <c r="A127" s="8" t="s">
        <v>8</v>
      </c>
      <c r="B127" s="13" t="s">
        <v>34</v>
      </c>
      <c r="C127" s="13"/>
      <c r="D127" s="14"/>
    </row>
    <row r="128" spans="1:4" ht="12.75" customHeight="1" x14ac:dyDescent="0.25">
      <c r="A128" s="110" t="s">
        <v>56</v>
      </c>
      <c r="B128" s="110"/>
      <c r="C128" s="110"/>
      <c r="D128" s="15">
        <f>SUM(D124:D127)</f>
        <v>167.62</v>
      </c>
    </row>
    <row r="131" spans="1:4" x14ac:dyDescent="0.25">
      <c r="A131" s="105" t="s">
        <v>94</v>
      </c>
      <c r="B131" s="105"/>
      <c r="C131" s="105"/>
      <c r="D131" s="105"/>
    </row>
    <row r="133" spans="1:4" x14ac:dyDescent="0.25">
      <c r="A133" s="12">
        <v>6</v>
      </c>
      <c r="B133" s="28" t="s">
        <v>95</v>
      </c>
      <c r="C133" s="12" t="s">
        <v>45</v>
      </c>
      <c r="D133" s="12" t="s">
        <v>26</v>
      </c>
    </row>
    <row r="134" spans="1:4" x14ac:dyDescent="0.25">
      <c r="A134" s="8" t="s">
        <v>2</v>
      </c>
      <c r="B134" s="13" t="s">
        <v>96</v>
      </c>
      <c r="C134" s="20">
        <v>0.05</v>
      </c>
      <c r="D134" s="23">
        <f>D154*C134</f>
        <v>388.48497000000003</v>
      </c>
    </row>
    <row r="135" spans="1:4" x14ac:dyDescent="0.25">
      <c r="A135" s="8" t="s">
        <v>4</v>
      </c>
      <c r="B135" s="13" t="s">
        <v>97</v>
      </c>
      <c r="C135" s="20">
        <v>0.06</v>
      </c>
      <c r="D135" s="14">
        <f>(D154+D134)*C135</f>
        <v>489.49106220000004</v>
      </c>
    </row>
    <row r="136" spans="1:4" x14ac:dyDescent="0.25">
      <c r="A136" s="8" t="s">
        <v>6</v>
      </c>
      <c r="B136" s="13" t="s">
        <v>98</v>
      </c>
      <c r="C136" s="17">
        <f>SUM(C137:C142)</f>
        <v>8.6499999999999994E-2</v>
      </c>
      <c r="D136" s="14">
        <f>(D154+D134+D135)*C136/(1-C136)</f>
        <v>818.85487124827591</v>
      </c>
    </row>
    <row r="137" spans="1:4" x14ac:dyDescent="0.25">
      <c r="A137" s="8"/>
      <c r="B137" s="13" t="s">
        <v>99</v>
      </c>
      <c r="C137" s="20"/>
      <c r="D137" s="23">
        <f t="shared" ref="D137:D142" si="2">$D$156*C137</f>
        <v>0</v>
      </c>
    </row>
    <row r="138" spans="1:4" x14ac:dyDescent="0.25">
      <c r="A138" s="8"/>
      <c r="B138" s="13" t="s">
        <v>100</v>
      </c>
      <c r="C138" s="20">
        <v>6.4999999999999997E-3</v>
      </c>
      <c r="D138" s="23">
        <f t="shared" si="2"/>
        <v>61.532446972413794</v>
      </c>
    </row>
    <row r="139" spans="1:4" x14ac:dyDescent="0.25">
      <c r="A139" s="8"/>
      <c r="B139" s="13" t="s">
        <v>101</v>
      </c>
      <c r="C139" s="20">
        <v>0.03</v>
      </c>
      <c r="D139" s="23">
        <f t="shared" si="2"/>
        <v>283.9959091034483</v>
      </c>
    </row>
    <row r="140" spans="1:4" x14ac:dyDescent="0.25">
      <c r="A140" s="8"/>
      <c r="B140" s="13" t="s">
        <v>102</v>
      </c>
      <c r="C140" s="65"/>
      <c r="D140" s="23">
        <f t="shared" si="2"/>
        <v>0</v>
      </c>
    </row>
    <row r="141" spans="1:4" x14ac:dyDescent="0.25">
      <c r="A141" s="8"/>
      <c r="B141" s="13" t="s">
        <v>103</v>
      </c>
      <c r="C141" s="20"/>
      <c r="D141" s="23">
        <f t="shared" si="2"/>
        <v>0</v>
      </c>
    </row>
    <row r="142" spans="1:4" x14ac:dyDescent="0.25">
      <c r="A142" s="8"/>
      <c r="B142" s="13" t="s">
        <v>104</v>
      </c>
      <c r="C142" s="20">
        <v>0.05</v>
      </c>
      <c r="D142" s="23">
        <f t="shared" si="2"/>
        <v>473.32651517241385</v>
      </c>
    </row>
    <row r="143" spans="1:4" ht="13.5" customHeight="1" x14ac:dyDescent="0.25">
      <c r="A143" s="116" t="s">
        <v>56</v>
      </c>
      <c r="B143" s="116"/>
      <c r="C143" s="29">
        <f>ROUND((1+C135)*(1+C134)/(1-C136)-1,4)</f>
        <v>0.21840000000000001</v>
      </c>
      <c r="D143" s="19">
        <f>SUM(D134:D136)</f>
        <v>1696.8309034482759</v>
      </c>
    </row>
    <row r="146" spans="1:4" x14ac:dyDescent="0.25">
      <c r="A146" s="105" t="s">
        <v>105</v>
      </c>
      <c r="B146" s="105"/>
      <c r="C146" s="105"/>
      <c r="D146" s="105"/>
    </row>
    <row r="148" spans="1:4" ht="12.75" customHeight="1" x14ac:dyDescent="0.25">
      <c r="A148" s="12"/>
      <c r="B148" s="110" t="s">
        <v>106</v>
      </c>
      <c r="C148" s="110"/>
      <c r="D148" s="12" t="s">
        <v>26</v>
      </c>
    </row>
    <row r="149" spans="1:4" ht="12.75" customHeight="1" x14ac:dyDescent="0.25">
      <c r="A149" s="12" t="s">
        <v>2</v>
      </c>
      <c r="B149" s="111" t="s">
        <v>24</v>
      </c>
      <c r="C149" s="111"/>
      <c r="D149" s="30">
        <f>D33</f>
        <v>4117.2719999999999</v>
      </c>
    </row>
    <row r="150" spans="1:4" ht="12.75" customHeight="1" x14ac:dyDescent="0.25">
      <c r="A150" s="12" t="s">
        <v>4</v>
      </c>
      <c r="B150" s="111" t="s">
        <v>36</v>
      </c>
      <c r="C150" s="111"/>
      <c r="D150" s="30">
        <f>D76</f>
        <v>3087.2174</v>
      </c>
    </row>
    <row r="151" spans="1:4" ht="12.75" customHeight="1" x14ac:dyDescent="0.25">
      <c r="A151" s="12" t="s">
        <v>6</v>
      </c>
      <c r="B151" s="111" t="s">
        <v>65</v>
      </c>
      <c r="C151" s="111"/>
      <c r="D151" s="30">
        <f>D88</f>
        <v>253.59</v>
      </c>
    </row>
    <row r="152" spans="1:4" ht="12.75" customHeight="1" x14ac:dyDescent="0.25">
      <c r="A152" s="12" t="s">
        <v>8</v>
      </c>
      <c r="B152" s="111" t="s">
        <v>73</v>
      </c>
      <c r="C152" s="111"/>
      <c r="D152" s="30">
        <f>D118</f>
        <v>144</v>
      </c>
    </row>
    <row r="153" spans="1:4" ht="12.75" customHeight="1" x14ac:dyDescent="0.25">
      <c r="A153" s="12" t="s">
        <v>31</v>
      </c>
      <c r="B153" s="111" t="s">
        <v>89</v>
      </c>
      <c r="C153" s="111"/>
      <c r="D153" s="30">
        <f>D128</f>
        <v>167.62</v>
      </c>
    </row>
    <row r="154" spans="1:4" ht="12.75" customHeight="1" x14ac:dyDescent="0.25">
      <c r="A154" s="110" t="s">
        <v>107</v>
      </c>
      <c r="B154" s="110"/>
      <c r="C154" s="110"/>
      <c r="D154" s="31">
        <f>SUM(D149:D153)</f>
        <v>7769.6994000000004</v>
      </c>
    </row>
    <row r="155" spans="1:4" ht="12.75" customHeight="1" x14ac:dyDescent="0.25">
      <c r="A155" s="12" t="s">
        <v>51</v>
      </c>
      <c r="B155" s="111" t="s">
        <v>108</v>
      </c>
      <c r="C155" s="111"/>
      <c r="D155" s="32">
        <f>D143</f>
        <v>1696.8309034482759</v>
      </c>
    </row>
    <row r="156" spans="1:4" ht="12.75" customHeight="1" x14ac:dyDescent="0.25">
      <c r="A156" s="110" t="s">
        <v>109</v>
      </c>
      <c r="B156" s="110"/>
      <c r="C156" s="110"/>
      <c r="D156" s="31">
        <f>SUM(D154:D155)</f>
        <v>9466.5303034482768</v>
      </c>
    </row>
  </sheetData>
  <mergeCells count="71">
    <mergeCell ref="A156:C156"/>
    <mergeCell ref="B151:C151"/>
    <mergeCell ref="B152:C152"/>
    <mergeCell ref="B153:C153"/>
    <mergeCell ref="A154:C154"/>
    <mergeCell ref="B155:C155"/>
    <mergeCell ref="A143:B143"/>
    <mergeCell ref="A146:D146"/>
    <mergeCell ref="B148:C148"/>
    <mergeCell ref="B149:C149"/>
    <mergeCell ref="B150:C150"/>
    <mergeCell ref="A118:C118"/>
    <mergeCell ref="A121:D121"/>
    <mergeCell ref="B123:C123"/>
    <mergeCell ref="A128:C128"/>
    <mergeCell ref="A131:D131"/>
    <mergeCell ref="A110:C110"/>
    <mergeCell ref="A113:D113"/>
    <mergeCell ref="B115:C115"/>
    <mergeCell ref="B116:C116"/>
    <mergeCell ref="B117:C117"/>
    <mergeCell ref="B96:C96"/>
    <mergeCell ref="A103:C103"/>
    <mergeCell ref="A106:D106"/>
    <mergeCell ref="B108:C108"/>
    <mergeCell ref="B109:C109"/>
    <mergeCell ref="A79:D79"/>
    <mergeCell ref="B81:C81"/>
    <mergeCell ref="A88:C88"/>
    <mergeCell ref="A91:D91"/>
    <mergeCell ref="A94:D94"/>
    <mergeCell ref="B72:C72"/>
    <mergeCell ref="B73:C73"/>
    <mergeCell ref="B74:C74"/>
    <mergeCell ref="B75:C75"/>
    <mergeCell ref="A76:C76"/>
    <mergeCell ref="B64:C64"/>
    <mergeCell ref="B65:C65"/>
    <mergeCell ref="B66:C66"/>
    <mergeCell ref="A67:C67"/>
    <mergeCell ref="A70:D70"/>
    <mergeCell ref="A46:D46"/>
    <mergeCell ref="A57:B57"/>
    <mergeCell ref="A60:D60"/>
    <mergeCell ref="B62:C62"/>
    <mergeCell ref="B63:C63"/>
    <mergeCell ref="A33:C33"/>
    <mergeCell ref="A36:D36"/>
    <mergeCell ref="A38:D38"/>
    <mergeCell ref="B40:C40"/>
    <mergeCell ref="A43:B43"/>
    <mergeCell ref="B28:C28"/>
    <mergeCell ref="B29:C29"/>
    <mergeCell ref="B30:C30"/>
    <mergeCell ref="B31:C31"/>
    <mergeCell ref="B32:C32"/>
    <mergeCell ref="C21:D21"/>
    <mergeCell ref="A23:D23"/>
    <mergeCell ref="B25:C25"/>
    <mergeCell ref="B26:C26"/>
    <mergeCell ref="B27:C27"/>
    <mergeCell ref="A15:D15"/>
    <mergeCell ref="C17:D17"/>
    <mergeCell ref="C18:D18"/>
    <mergeCell ref="C19:D19"/>
    <mergeCell ref="C20:D20"/>
    <mergeCell ref="A1:D1"/>
    <mergeCell ref="A3:D3"/>
    <mergeCell ref="A10:D10"/>
    <mergeCell ref="A12:B12"/>
    <mergeCell ref="A13:B13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6"/>
  <sheetViews>
    <sheetView topLeftCell="A10" zoomScale="115" zoomScaleNormal="115" workbookViewId="0">
      <selection activeCell="D127" sqref="D127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104" t="s">
        <v>0</v>
      </c>
      <c r="B1" s="104"/>
      <c r="C1" s="104"/>
      <c r="D1" s="104"/>
    </row>
    <row r="2" spans="1:4" ht="15.75" x14ac:dyDescent="0.25">
      <c r="A2" s="2"/>
      <c r="B2" s="2"/>
      <c r="C2" s="2"/>
      <c r="D2" s="2"/>
    </row>
    <row r="3" spans="1:4" x14ac:dyDescent="0.25">
      <c r="A3" s="105" t="s">
        <v>1</v>
      </c>
      <c r="B3" s="105"/>
      <c r="C3" s="105"/>
      <c r="D3" s="105"/>
    </row>
    <row r="4" spans="1:4" x14ac:dyDescent="0.25">
      <c r="A4" s="3"/>
      <c r="B4" s="3"/>
      <c r="C4" s="3"/>
      <c r="D4" s="3"/>
    </row>
    <row r="5" spans="1:4" x14ac:dyDescent="0.25">
      <c r="A5" s="4" t="s">
        <v>2</v>
      </c>
      <c r="B5" s="5" t="s">
        <v>3</v>
      </c>
      <c r="C5" s="6"/>
      <c r="D5" s="7"/>
    </row>
    <row r="6" spans="1:4" x14ac:dyDescent="0.25">
      <c r="A6" s="4" t="s">
        <v>4</v>
      </c>
      <c r="B6" s="5" t="s">
        <v>5</v>
      </c>
      <c r="C6" s="6"/>
      <c r="D6" s="7"/>
    </row>
    <row r="7" spans="1:4" x14ac:dyDescent="0.25">
      <c r="A7" s="4" t="s">
        <v>6</v>
      </c>
      <c r="B7" s="5" t="s">
        <v>7</v>
      </c>
      <c r="C7" s="6"/>
      <c r="D7" s="7"/>
    </row>
    <row r="8" spans="1:4" x14ac:dyDescent="0.25">
      <c r="A8" s="4" t="s">
        <v>8</v>
      </c>
      <c r="B8" s="5" t="s">
        <v>9</v>
      </c>
      <c r="C8" s="6"/>
      <c r="D8" s="7">
        <v>24</v>
      </c>
    </row>
    <row r="10" spans="1:4" x14ac:dyDescent="0.25">
      <c r="A10" s="105" t="s">
        <v>10</v>
      </c>
      <c r="B10" s="105"/>
      <c r="C10" s="105"/>
      <c r="D10" s="105"/>
    </row>
    <row r="11" spans="1:4" x14ac:dyDescent="0.25">
      <c r="A11" s="3"/>
      <c r="B11" s="3"/>
      <c r="C11" s="3"/>
      <c r="D11" s="3"/>
    </row>
    <row r="12" spans="1:4" ht="38.25" customHeight="1" x14ac:dyDescent="0.25">
      <c r="A12" s="106" t="s">
        <v>11</v>
      </c>
      <c r="B12" s="106"/>
      <c r="C12" s="8" t="s">
        <v>12</v>
      </c>
      <c r="D12" s="9" t="s">
        <v>13</v>
      </c>
    </row>
    <row r="13" spans="1:4" s="11" customFormat="1" ht="12.75" x14ac:dyDescent="0.2">
      <c r="A13" s="107" t="s">
        <v>220</v>
      </c>
      <c r="B13" s="107"/>
      <c r="C13" s="10" t="s">
        <v>15</v>
      </c>
      <c r="D13" s="10">
        <v>2</v>
      </c>
    </row>
    <row r="15" spans="1:4" x14ac:dyDescent="0.25">
      <c r="A15" s="105" t="s">
        <v>16</v>
      </c>
      <c r="B15" s="105"/>
      <c r="C15" s="105"/>
      <c r="D15" s="105"/>
    </row>
    <row r="16" spans="1:4" x14ac:dyDescent="0.25">
      <c r="A16" s="3"/>
      <c r="B16" s="3"/>
      <c r="C16" s="3"/>
      <c r="D16" s="3"/>
    </row>
    <row r="17" spans="1:4" x14ac:dyDescent="0.25">
      <c r="A17" s="4">
        <v>1</v>
      </c>
      <c r="B17" s="4" t="s">
        <v>17</v>
      </c>
      <c r="C17" s="108" t="s">
        <v>221</v>
      </c>
      <c r="D17" s="108"/>
    </row>
    <row r="18" spans="1:4" x14ac:dyDescent="0.25">
      <c r="A18" s="4">
        <v>2</v>
      </c>
      <c r="B18" s="4" t="s">
        <v>19</v>
      </c>
      <c r="C18" s="108" t="s">
        <v>116</v>
      </c>
      <c r="D18" s="108"/>
    </row>
    <row r="19" spans="1:4" x14ac:dyDescent="0.25">
      <c r="A19" s="4">
        <v>3</v>
      </c>
      <c r="B19" s="4" t="s">
        <v>21</v>
      </c>
      <c r="C19" s="108">
        <v>2229.58</v>
      </c>
      <c r="D19" s="108"/>
    </row>
    <row r="20" spans="1:4" x14ac:dyDescent="0.25">
      <c r="A20" s="4">
        <v>4</v>
      </c>
      <c r="B20" s="4" t="s">
        <v>22</v>
      </c>
      <c r="C20" s="108" t="s">
        <v>196</v>
      </c>
      <c r="D20" s="108"/>
    </row>
    <row r="21" spans="1:4" x14ac:dyDescent="0.25">
      <c r="A21" s="4">
        <v>5</v>
      </c>
      <c r="B21" s="4" t="s">
        <v>23</v>
      </c>
      <c r="C21" s="108"/>
      <c r="D21" s="108"/>
    </row>
    <row r="23" spans="1:4" x14ac:dyDescent="0.25">
      <c r="A23" s="105" t="s">
        <v>24</v>
      </c>
      <c r="B23" s="105"/>
      <c r="C23" s="105"/>
      <c r="D23" s="105"/>
    </row>
    <row r="25" spans="1:4" ht="12.75" customHeight="1" x14ac:dyDescent="0.25">
      <c r="A25" s="12">
        <v>1</v>
      </c>
      <c r="B25" s="110" t="s">
        <v>25</v>
      </c>
      <c r="C25" s="110"/>
      <c r="D25" s="12" t="s">
        <v>26</v>
      </c>
    </row>
    <row r="26" spans="1:4" ht="12.75" customHeight="1" x14ac:dyDescent="0.25">
      <c r="A26" s="8" t="s">
        <v>2</v>
      </c>
      <c r="B26" s="111" t="s">
        <v>27</v>
      </c>
      <c r="C26" s="111"/>
      <c r="D26" s="14">
        <v>2229.58</v>
      </c>
    </row>
    <row r="27" spans="1:4" ht="12.75" customHeight="1" x14ac:dyDescent="0.25">
      <c r="A27" s="8" t="s">
        <v>4</v>
      </c>
      <c r="B27" s="111" t="s">
        <v>28</v>
      </c>
      <c r="C27" s="111"/>
      <c r="D27" s="14"/>
    </row>
    <row r="28" spans="1:4" ht="12.75" customHeight="1" x14ac:dyDescent="0.25">
      <c r="A28" s="8" t="s">
        <v>6</v>
      </c>
      <c r="B28" s="111" t="s">
        <v>29</v>
      </c>
      <c r="C28" s="111"/>
      <c r="D28" s="14">
        <f>D26*0.2</f>
        <v>445.916</v>
      </c>
    </row>
    <row r="29" spans="1:4" ht="12.75" customHeight="1" x14ac:dyDescent="0.25">
      <c r="A29" s="8" t="s">
        <v>8</v>
      </c>
      <c r="B29" s="111" t="s">
        <v>30</v>
      </c>
      <c r="C29" s="111"/>
      <c r="D29" s="14"/>
    </row>
    <row r="30" spans="1:4" ht="12.75" customHeight="1" x14ac:dyDescent="0.25">
      <c r="A30" s="8" t="s">
        <v>31</v>
      </c>
      <c r="B30" s="111" t="s">
        <v>32</v>
      </c>
      <c r="C30" s="111"/>
      <c r="D30" s="14"/>
    </row>
    <row r="31" spans="1:4" x14ac:dyDescent="0.25">
      <c r="A31" s="8"/>
      <c r="B31" s="111"/>
      <c r="C31" s="111"/>
      <c r="D31" s="14"/>
    </row>
    <row r="32" spans="1:4" ht="12.75" customHeight="1" x14ac:dyDescent="0.25">
      <c r="A32" s="8" t="s">
        <v>33</v>
      </c>
      <c r="B32" s="111" t="s">
        <v>34</v>
      </c>
      <c r="C32" s="111"/>
      <c r="D32" s="14"/>
    </row>
    <row r="33" spans="1:4" ht="12.75" customHeight="1" x14ac:dyDescent="0.25">
      <c r="A33" s="110" t="s">
        <v>35</v>
      </c>
      <c r="B33" s="110"/>
      <c r="C33" s="110"/>
      <c r="D33" s="15">
        <f>SUM(D26:D32)</f>
        <v>2675.4960000000001</v>
      </c>
    </row>
    <row r="36" spans="1:4" x14ac:dyDescent="0.25">
      <c r="A36" s="105" t="s">
        <v>36</v>
      </c>
      <c r="B36" s="105"/>
      <c r="C36" s="105"/>
      <c r="D36" s="105"/>
    </row>
    <row r="37" spans="1:4" x14ac:dyDescent="0.25">
      <c r="A37" s="16"/>
    </row>
    <row r="38" spans="1:4" x14ac:dyDescent="0.25">
      <c r="A38" s="112" t="s">
        <v>37</v>
      </c>
      <c r="B38" s="112"/>
      <c r="C38" s="112"/>
      <c r="D38" s="112"/>
    </row>
    <row r="40" spans="1:4" ht="12.75" customHeight="1" x14ac:dyDescent="0.25">
      <c r="A40" s="12" t="s">
        <v>38</v>
      </c>
      <c r="B40" s="110" t="s">
        <v>39</v>
      </c>
      <c r="C40" s="110"/>
      <c r="D40" s="12" t="s">
        <v>26</v>
      </c>
    </row>
    <row r="41" spans="1:4" x14ac:dyDescent="0.25">
      <c r="A41" s="8" t="s">
        <v>2</v>
      </c>
      <c r="B41" s="13" t="s">
        <v>40</v>
      </c>
      <c r="C41" s="17">
        <f>TRUNC(1/12,4)</f>
        <v>8.3299999999999999E-2</v>
      </c>
      <c r="D41" s="14">
        <f>TRUNC($D$33*C41,2)</f>
        <v>222.86</v>
      </c>
    </row>
    <row r="42" spans="1:4" x14ac:dyDescent="0.25">
      <c r="A42" s="8" t="s">
        <v>4</v>
      </c>
      <c r="B42" s="13" t="s">
        <v>41</v>
      </c>
      <c r="C42" s="17">
        <f>TRUNC(((1+1/3)/12),4)</f>
        <v>0.1111</v>
      </c>
      <c r="D42" s="14">
        <f>TRUNC($D$33*C42,2)</f>
        <v>297.24</v>
      </c>
    </row>
    <row r="43" spans="1:4" ht="12.75" customHeight="1" x14ac:dyDescent="0.25">
      <c r="A43" s="110" t="s">
        <v>35</v>
      </c>
      <c r="B43" s="110"/>
      <c r="C43" s="18">
        <f>SUM(C41:C42)</f>
        <v>0.19440000000000002</v>
      </c>
      <c r="D43" s="19">
        <f>SUM(D41:D42)</f>
        <v>520.1</v>
      </c>
    </row>
    <row r="46" spans="1:4" ht="12.75" customHeight="1" x14ac:dyDescent="0.25">
      <c r="A46" s="113" t="s">
        <v>42</v>
      </c>
      <c r="B46" s="113"/>
      <c r="C46" s="113"/>
      <c r="D46" s="113"/>
    </row>
    <row r="48" spans="1:4" x14ac:dyDescent="0.25">
      <c r="A48" s="12" t="s">
        <v>43</v>
      </c>
      <c r="B48" s="12" t="s">
        <v>44</v>
      </c>
      <c r="C48" s="12" t="s">
        <v>45</v>
      </c>
      <c r="D48" s="12" t="s">
        <v>26</v>
      </c>
    </row>
    <row r="49" spans="1:4" x14ac:dyDescent="0.25">
      <c r="A49" s="8" t="s">
        <v>2</v>
      </c>
      <c r="B49" s="13" t="s">
        <v>46</v>
      </c>
      <c r="C49" s="20">
        <v>0.2</v>
      </c>
      <c r="D49" s="14">
        <f t="shared" ref="D49:D56" si="0">TRUNC(($D$33+$D$43)*C49,2)</f>
        <v>639.11</v>
      </c>
    </row>
    <row r="50" spans="1:4" x14ac:dyDescent="0.25">
      <c r="A50" s="8" t="s">
        <v>4</v>
      </c>
      <c r="B50" s="13" t="s">
        <v>47</v>
      </c>
      <c r="C50" s="20">
        <v>2.5000000000000001E-2</v>
      </c>
      <c r="D50" s="14">
        <f t="shared" si="0"/>
        <v>79.88</v>
      </c>
    </row>
    <row r="51" spans="1:4" x14ac:dyDescent="0.25">
      <c r="A51" s="8" t="s">
        <v>6</v>
      </c>
      <c r="B51" s="13" t="s">
        <v>48</v>
      </c>
      <c r="C51" s="21">
        <v>0.03</v>
      </c>
      <c r="D51" s="14">
        <f t="shared" si="0"/>
        <v>95.86</v>
      </c>
    </row>
    <row r="52" spans="1:4" x14ac:dyDescent="0.25">
      <c r="A52" s="8" t="s">
        <v>8</v>
      </c>
      <c r="B52" s="13" t="s">
        <v>49</v>
      </c>
      <c r="C52" s="20">
        <v>1.4999999999999999E-2</v>
      </c>
      <c r="D52" s="14">
        <f t="shared" si="0"/>
        <v>47.93</v>
      </c>
    </row>
    <row r="53" spans="1:4" x14ac:dyDescent="0.25">
      <c r="A53" s="8" t="s">
        <v>31</v>
      </c>
      <c r="B53" s="13" t="s">
        <v>50</v>
      </c>
      <c r="C53" s="20">
        <v>0.01</v>
      </c>
      <c r="D53" s="14">
        <f t="shared" si="0"/>
        <v>31.95</v>
      </c>
    </row>
    <row r="54" spans="1:4" x14ac:dyDescent="0.25">
      <c r="A54" s="8" t="s">
        <v>51</v>
      </c>
      <c r="B54" s="13" t="s">
        <v>52</v>
      </c>
      <c r="C54" s="20">
        <v>6.0000000000000001E-3</v>
      </c>
      <c r="D54" s="14">
        <f t="shared" si="0"/>
        <v>19.170000000000002</v>
      </c>
    </row>
    <row r="55" spans="1:4" x14ac:dyDescent="0.25">
      <c r="A55" s="8" t="s">
        <v>33</v>
      </c>
      <c r="B55" s="13" t="s">
        <v>53</v>
      </c>
      <c r="C55" s="20">
        <v>2E-3</v>
      </c>
      <c r="D55" s="14">
        <f t="shared" si="0"/>
        <v>6.39</v>
      </c>
    </row>
    <row r="56" spans="1:4" x14ac:dyDescent="0.25">
      <c r="A56" s="8" t="s">
        <v>54</v>
      </c>
      <c r="B56" s="13" t="s">
        <v>55</v>
      </c>
      <c r="C56" s="20">
        <v>0.08</v>
      </c>
      <c r="D56" s="14">
        <f t="shared" si="0"/>
        <v>255.64</v>
      </c>
    </row>
    <row r="57" spans="1:4" ht="12.75" customHeight="1" x14ac:dyDescent="0.25">
      <c r="A57" s="110" t="s">
        <v>56</v>
      </c>
      <c r="B57" s="110"/>
      <c r="C57" s="22">
        <f>SUM(C49:C56)</f>
        <v>0.36800000000000005</v>
      </c>
      <c r="D57" s="19">
        <f>SUM(D49:D56)</f>
        <v>1175.9299999999998</v>
      </c>
    </row>
    <row r="60" spans="1:4" x14ac:dyDescent="0.25">
      <c r="A60" s="112" t="s">
        <v>57</v>
      </c>
      <c r="B60" s="112"/>
      <c r="C60" s="112"/>
      <c r="D60" s="112"/>
    </row>
    <row r="62" spans="1:4" ht="12.75" customHeight="1" x14ac:dyDescent="0.25">
      <c r="A62" s="12" t="s">
        <v>58</v>
      </c>
      <c r="B62" s="114" t="s">
        <v>59</v>
      </c>
      <c r="C62" s="114"/>
      <c r="D62" s="12" t="s">
        <v>26</v>
      </c>
    </row>
    <row r="63" spans="1:4" ht="12.75" customHeight="1" x14ac:dyDescent="0.25">
      <c r="A63" s="8" t="s">
        <v>2</v>
      </c>
      <c r="B63" s="111" t="s">
        <v>60</v>
      </c>
      <c r="C63" s="111"/>
      <c r="D63" s="14">
        <f>IF((26*2*4.9)&gt;(D26*0.06),(26*2*4.9)-(D26*0.06),0)</f>
        <v>121.02520000000001</v>
      </c>
    </row>
    <row r="64" spans="1:4" ht="12.75" customHeight="1" x14ac:dyDescent="0.25">
      <c r="A64" s="8" t="s">
        <v>4</v>
      </c>
      <c r="B64" s="111" t="s">
        <v>61</v>
      </c>
      <c r="C64" s="111"/>
      <c r="D64" s="14">
        <f>22*20.49*0.95</f>
        <v>428.24099999999993</v>
      </c>
    </row>
    <row r="65" spans="1:5" ht="12.75" customHeight="1" x14ac:dyDescent="0.25">
      <c r="A65" s="8" t="s">
        <v>6</v>
      </c>
      <c r="B65" s="111" t="s">
        <v>62</v>
      </c>
      <c r="C65" s="111"/>
      <c r="D65" s="14"/>
    </row>
    <row r="66" spans="1:5" ht="12.75" customHeight="1" x14ac:dyDescent="0.25">
      <c r="A66" s="8" t="s">
        <v>8</v>
      </c>
      <c r="B66" s="111" t="s">
        <v>34</v>
      </c>
      <c r="C66" s="111"/>
      <c r="D66" s="14"/>
    </row>
    <row r="67" spans="1:5" ht="12.75" customHeight="1" x14ac:dyDescent="0.25">
      <c r="A67" s="110" t="s">
        <v>35</v>
      </c>
      <c r="B67" s="110"/>
      <c r="C67" s="110"/>
      <c r="D67" s="19">
        <f>SUM(D63:D66)</f>
        <v>549.26619999999991</v>
      </c>
    </row>
    <row r="70" spans="1:5" x14ac:dyDescent="0.25">
      <c r="A70" s="112" t="s">
        <v>63</v>
      </c>
      <c r="B70" s="112"/>
      <c r="C70" s="112"/>
      <c r="D70" s="112"/>
    </row>
    <row r="72" spans="1:5" ht="12.75" customHeight="1" x14ac:dyDescent="0.25">
      <c r="A72" s="12">
        <v>2</v>
      </c>
      <c r="B72" s="114" t="s">
        <v>64</v>
      </c>
      <c r="C72" s="114"/>
      <c r="D72" s="12" t="s">
        <v>26</v>
      </c>
    </row>
    <row r="73" spans="1:5" ht="12.75" customHeight="1" x14ac:dyDescent="0.25">
      <c r="A73" s="8" t="s">
        <v>38</v>
      </c>
      <c r="B73" s="111" t="s">
        <v>39</v>
      </c>
      <c r="C73" s="111"/>
      <c r="D73" s="23">
        <f>D43</f>
        <v>520.1</v>
      </c>
    </row>
    <row r="74" spans="1:5" ht="12.75" customHeight="1" x14ac:dyDescent="0.25">
      <c r="A74" s="8" t="s">
        <v>43</v>
      </c>
      <c r="B74" s="111" t="s">
        <v>44</v>
      </c>
      <c r="C74" s="111"/>
      <c r="D74" s="23">
        <f>D57</f>
        <v>1175.9299999999998</v>
      </c>
    </row>
    <row r="75" spans="1:5" ht="12.75" customHeight="1" x14ac:dyDescent="0.25">
      <c r="A75" s="8" t="s">
        <v>58</v>
      </c>
      <c r="B75" s="111" t="s">
        <v>59</v>
      </c>
      <c r="C75" s="111"/>
      <c r="D75" s="23">
        <f>D67</f>
        <v>549.26619999999991</v>
      </c>
    </row>
    <row r="76" spans="1:5" ht="12.75" customHeight="1" x14ac:dyDescent="0.25">
      <c r="A76" s="110" t="s">
        <v>35</v>
      </c>
      <c r="B76" s="110"/>
      <c r="C76" s="110"/>
      <c r="D76" s="19">
        <f>SUM(D73:D75)</f>
        <v>2245.2961999999998</v>
      </c>
    </row>
    <row r="77" spans="1:5" x14ac:dyDescent="0.25">
      <c r="A77" s="24"/>
      <c r="E77" s="25"/>
    </row>
    <row r="79" spans="1:5" x14ac:dyDescent="0.25">
      <c r="A79" s="105" t="s">
        <v>65</v>
      </c>
      <c r="B79" s="105"/>
      <c r="C79" s="105"/>
      <c r="D79" s="105"/>
      <c r="E79" s="26"/>
    </row>
    <row r="80" spans="1:5" ht="12.75" customHeight="1" x14ac:dyDescent="0.25">
      <c r="E80" s="25"/>
    </row>
    <row r="81" spans="1:4" ht="12.75" customHeight="1" x14ac:dyDescent="0.25">
      <c r="A81" s="12">
        <v>3</v>
      </c>
      <c r="B81" s="114" t="s">
        <v>66</v>
      </c>
      <c r="C81" s="114"/>
      <c r="D81" s="12" t="s">
        <v>26</v>
      </c>
    </row>
    <row r="82" spans="1:4" x14ac:dyDescent="0.25">
      <c r="A82" s="8" t="s">
        <v>2</v>
      </c>
      <c r="B82" s="27" t="s">
        <v>67</v>
      </c>
      <c r="C82" s="20">
        <f>TRUNC(((1/12)*5%),4)</f>
        <v>4.1000000000000003E-3</v>
      </c>
      <c r="D82" s="14">
        <f>TRUNC($D$33*C82,2)</f>
        <v>10.96</v>
      </c>
    </row>
    <row r="83" spans="1:4" x14ac:dyDescent="0.25">
      <c r="A83" s="8" t="s">
        <v>4</v>
      </c>
      <c r="B83" s="27" t="s">
        <v>68</v>
      </c>
      <c r="C83" s="20">
        <v>0.08</v>
      </c>
      <c r="D83" s="14">
        <f>TRUNC(D82*C83,2)</f>
        <v>0.87</v>
      </c>
    </row>
    <row r="84" spans="1:4" x14ac:dyDescent="0.25">
      <c r="A84" s="8" t="s">
        <v>6</v>
      </c>
      <c r="B84" s="27" t="s">
        <v>69</v>
      </c>
      <c r="C84" s="20">
        <f>TRUNC(8%*5%*40%,4)</f>
        <v>1.6000000000000001E-3</v>
      </c>
      <c r="D84" s="14">
        <f>TRUNC($D$33*C84,2)</f>
        <v>4.28</v>
      </c>
    </row>
    <row r="85" spans="1:4" x14ac:dyDescent="0.25">
      <c r="A85" s="8" t="s">
        <v>8</v>
      </c>
      <c r="B85" s="27" t="s">
        <v>70</v>
      </c>
      <c r="C85" s="20">
        <f>TRUNC(((7/30)/12)*95%,4)</f>
        <v>1.84E-2</v>
      </c>
      <c r="D85" s="14">
        <f>TRUNC($D$33*C85,2)</f>
        <v>49.22</v>
      </c>
    </row>
    <row r="86" spans="1:4" ht="25.5" x14ac:dyDescent="0.25">
      <c r="A86" s="8" t="s">
        <v>31</v>
      </c>
      <c r="B86" s="27" t="s">
        <v>71</v>
      </c>
      <c r="C86" s="20">
        <f>C57</f>
        <v>0.36800000000000005</v>
      </c>
      <c r="D86" s="14">
        <f>TRUNC(D85*C86,2)</f>
        <v>18.11</v>
      </c>
    </row>
    <row r="87" spans="1:4" x14ac:dyDescent="0.25">
      <c r="A87" s="8" t="s">
        <v>51</v>
      </c>
      <c r="B87" s="27" t="s">
        <v>72</v>
      </c>
      <c r="C87" s="20">
        <f>TRUNC(8%*95%*40%,4)</f>
        <v>3.04E-2</v>
      </c>
      <c r="D87" s="14">
        <f>TRUNC($D$33*C87,2)</f>
        <v>81.33</v>
      </c>
    </row>
    <row r="88" spans="1:4" ht="12.75" customHeight="1" x14ac:dyDescent="0.25">
      <c r="A88" s="110" t="s">
        <v>35</v>
      </c>
      <c r="B88" s="110"/>
      <c r="C88" s="110"/>
      <c r="D88" s="19">
        <f>SUM(D82:D87)</f>
        <v>164.76999999999998</v>
      </c>
    </row>
    <row r="91" spans="1:4" x14ac:dyDescent="0.25">
      <c r="A91" s="105" t="s">
        <v>73</v>
      </c>
      <c r="B91" s="105"/>
      <c r="C91" s="105"/>
      <c r="D91" s="105"/>
    </row>
    <row r="94" spans="1:4" x14ac:dyDescent="0.25">
      <c r="A94" s="112" t="s">
        <v>74</v>
      </c>
      <c r="B94" s="112"/>
      <c r="C94" s="112"/>
      <c r="D94" s="112"/>
    </row>
    <row r="95" spans="1:4" x14ac:dyDescent="0.25">
      <c r="A95" s="16"/>
    </row>
    <row r="96" spans="1:4" ht="12.75" customHeight="1" x14ac:dyDescent="0.25">
      <c r="A96" s="12" t="s">
        <v>75</v>
      </c>
      <c r="B96" s="114" t="s">
        <v>76</v>
      </c>
      <c r="C96" s="114"/>
      <c r="D96" s="12" t="s">
        <v>26</v>
      </c>
    </row>
    <row r="97" spans="1:6" x14ac:dyDescent="0.25">
      <c r="A97" s="8" t="s">
        <v>2</v>
      </c>
      <c r="B97" s="13" t="s">
        <v>77</v>
      </c>
      <c r="C97" s="20">
        <f>TRUNC(((1+1/3)/12)/12,4)</f>
        <v>9.1999999999999998E-3</v>
      </c>
      <c r="D97" s="14">
        <f t="shared" ref="D97:D102" si="1">TRUNC(($D$33+$D$76+$D$88)*C97,2)</f>
        <v>46.78</v>
      </c>
    </row>
    <row r="98" spans="1:6" x14ac:dyDescent="0.25">
      <c r="A98" s="8" t="s">
        <v>4</v>
      </c>
      <c r="B98" s="13" t="s">
        <v>78</v>
      </c>
      <c r="C98" s="20">
        <f>TRUNC(((2/30)/12),4)</f>
        <v>5.4999999999999997E-3</v>
      </c>
      <c r="D98" s="14">
        <f t="shared" si="1"/>
        <v>27.97</v>
      </c>
    </row>
    <row r="99" spans="1:6" x14ac:dyDescent="0.25">
      <c r="A99" s="8" t="s">
        <v>6</v>
      </c>
      <c r="B99" s="13" t="s">
        <v>79</v>
      </c>
      <c r="C99" s="20">
        <f>TRUNC(((5/30)/12)*2%,4)</f>
        <v>2.0000000000000001E-4</v>
      </c>
      <c r="D99" s="14">
        <f t="shared" si="1"/>
        <v>1.01</v>
      </c>
    </row>
    <row r="100" spans="1:6" x14ac:dyDescent="0.25">
      <c r="A100" s="8" t="s">
        <v>8</v>
      </c>
      <c r="B100" s="13" t="s">
        <v>80</v>
      </c>
      <c r="C100" s="20">
        <f>TRUNC(((15/30)/12)*8%,4)</f>
        <v>3.3E-3</v>
      </c>
      <c r="D100" s="14">
        <f t="shared" si="1"/>
        <v>16.78</v>
      </c>
    </row>
    <row r="101" spans="1:6" x14ac:dyDescent="0.25">
      <c r="A101" s="8" t="s">
        <v>31</v>
      </c>
      <c r="B101" s="13" t="s">
        <v>81</v>
      </c>
      <c r="C101" s="20">
        <f>((1+1/3)/12)*3%*(4/12)</f>
        <v>1.1111111111111109E-3</v>
      </c>
      <c r="D101" s="14">
        <f t="shared" si="1"/>
        <v>5.65</v>
      </c>
    </row>
    <row r="102" spans="1:6" x14ac:dyDescent="0.25">
      <c r="A102" s="8" t="s">
        <v>51</v>
      </c>
      <c r="B102" s="13" t="s">
        <v>82</v>
      </c>
      <c r="C102" s="20"/>
      <c r="D102" s="14">
        <f t="shared" si="1"/>
        <v>0</v>
      </c>
    </row>
    <row r="103" spans="1:6" ht="12.75" customHeight="1" x14ac:dyDescent="0.25">
      <c r="A103" s="110" t="s">
        <v>56</v>
      </c>
      <c r="B103" s="110"/>
      <c r="C103" s="110"/>
      <c r="D103" s="19">
        <f>SUM(D97:D102)</f>
        <v>98.190000000000012</v>
      </c>
      <c r="E103" s="26"/>
      <c r="F103" s="26"/>
    </row>
    <row r="106" spans="1:6" x14ac:dyDescent="0.25">
      <c r="A106" s="112" t="s">
        <v>83</v>
      </c>
      <c r="B106" s="112"/>
      <c r="C106" s="112"/>
      <c r="D106" s="112"/>
    </row>
    <row r="107" spans="1:6" x14ac:dyDescent="0.25">
      <c r="A107" s="16"/>
    </row>
    <row r="108" spans="1:6" ht="12.75" customHeight="1" x14ac:dyDescent="0.25">
      <c r="A108" s="12" t="s">
        <v>84</v>
      </c>
      <c r="B108" s="114" t="s">
        <v>85</v>
      </c>
      <c r="C108" s="114"/>
      <c r="D108" s="12" t="s">
        <v>26</v>
      </c>
    </row>
    <row r="109" spans="1:6" ht="12.75" customHeight="1" x14ac:dyDescent="0.25">
      <c r="A109" s="8" t="s">
        <v>2</v>
      </c>
      <c r="B109" s="111" t="s">
        <v>86</v>
      </c>
      <c r="C109" s="111"/>
      <c r="D109" s="14">
        <f>((D33+D76+D88)/220)*22*0</f>
        <v>0</v>
      </c>
    </row>
    <row r="110" spans="1:6" ht="12.75" customHeight="1" x14ac:dyDescent="0.25">
      <c r="A110" s="110" t="s">
        <v>35</v>
      </c>
      <c r="B110" s="110"/>
      <c r="C110" s="110"/>
      <c r="D110" s="19">
        <f>SUM(D109)</f>
        <v>0</v>
      </c>
    </row>
    <row r="113" spans="1:4" x14ac:dyDescent="0.25">
      <c r="A113" s="112" t="s">
        <v>87</v>
      </c>
      <c r="B113" s="112"/>
      <c r="C113" s="112"/>
      <c r="D113" s="112"/>
    </row>
    <row r="114" spans="1:4" x14ac:dyDescent="0.25">
      <c r="A114" s="16"/>
    </row>
    <row r="115" spans="1:4" ht="12.75" customHeight="1" x14ac:dyDescent="0.25">
      <c r="A115" s="12">
        <v>4</v>
      </c>
      <c r="B115" s="110" t="s">
        <v>88</v>
      </c>
      <c r="C115" s="110"/>
      <c r="D115" s="12" t="s">
        <v>26</v>
      </c>
    </row>
    <row r="116" spans="1:4" ht="12.75" customHeight="1" x14ac:dyDescent="0.25">
      <c r="A116" s="8" t="s">
        <v>75</v>
      </c>
      <c r="B116" s="111" t="s">
        <v>76</v>
      </c>
      <c r="C116" s="111"/>
      <c r="D116" s="23">
        <f>D103</f>
        <v>98.190000000000012</v>
      </c>
    </row>
    <row r="117" spans="1:4" ht="12.75" customHeight="1" x14ac:dyDescent="0.25">
      <c r="A117" s="8" t="s">
        <v>84</v>
      </c>
      <c r="B117" s="111" t="s">
        <v>85</v>
      </c>
      <c r="C117" s="111"/>
      <c r="D117" s="23">
        <f>D110</f>
        <v>0</v>
      </c>
    </row>
    <row r="118" spans="1:4" ht="12.75" customHeight="1" x14ac:dyDescent="0.25">
      <c r="A118" s="110" t="s">
        <v>35</v>
      </c>
      <c r="B118" s="110"/>
      <c r="C118" s="110"/>
      <c r="D118" s="19">
        <f>SUM(D116:D117)</f>
        <v>98.190000000000012</v>
      </c>
    </row>
    <row r="121" spans="1:4" x14ac:dyDescent="0.25">
      <c r="A121" s="105" t="s">
        <v>89</v>
      </c>
      <c r="B121" s="105"/>
      <c r="C121" s="105"/>
      <c r="D121" s="105"/>
    </row>
    <row r="123" spans="1:4" ht="12.75" customHeight="1" x14ac:dyDescent="0.25">
      <c r="A123" s="12">
        <v>5</v>
      </c>
      <c r="B123" s="115" t="s">
        <v>90</v>
      </c>
      <c r="C123" s="115"/>
      <c r="D123" s="12" t="s">
        <v>26</v>
      </c>
    </row>
    <row r="124" spans="1:4" x14ac:dyDescent="0.25">
      <c r="A124" s="8" t="s">
        <v>2</v>
      </c>
      <c r="B124" s="13" t="s">
        <v>91</v>
      </c>
      <c r="C124" s="13"/>
      <c r="D124" s="14">
        <v>66.040000000000006</v>
      </c>
    </row>
    <row r="125" spans="1:4" x14ac:dyDescent="0.25">
      <c r="A125" s="8" t="s">
        <v>4</v>
      </c>
      <c r="B125" s="13" t="s">
        <v>92</v>
      </c>
      <c r="C125" s="13"/>
      <c r="D125" s="14">
        <v>61.36</v>
      </c>
    </row>
    <row r="126" spans="1:4" x14ac:dyDescent="0.25">
      <c r="A126" s="8" t="s">
        <v>6</v>
      </c>
      <c r="B126" s="13" t="s">
        <v>93</v>
      </c>
      <c r="C126" s="13"/>
      <c r="D126" s="14">
        <v>40.22</v>
      </c>
    </row>
    <row r="127" spans="1:4" x14ac:dyDescent="0.25">
      <c r="A127" s="8" t="s">
        <v>8</v>
      </c>
      <c r="B127" s="13" t="s">
        <v>34</v>
      </c>
      <c r="C127" s="13"/>
      <c r="D127" s="14"/>
    </row>
    <row r="128" spans="1:4" ht="12.75" customHeight="1" x14ac:dyDescent="0.25">
      <c r="A128" s="110" t="s">
        <v>56</v>
      </c>
      <c r="B128" s="110"/>
      <c r="C128" s="110"/>
      <c r="D128" s="15">
        <f>SUM(D124:D127)</f>
        <v>167.62</v>
      </c>
    </row>
    <row r="131" spans="1:4" x14ac:dyDescent="0.25">
      <c r="A131" s="105" t="s">
        <v>94</v>
      </c>
      <c r="B131" s="105"/>
      <c r="C131" s="105"/>
      <c r="D131" s="105"/>
    </row>
    <row r="133" spans="1:4" x14ac:dyDescent="0.25">
      <c r="A133" s="12">
        <v>6</v>
      </c>
      <c r="B133" s="28" t="s">
        <v>95</v>
      </c>
      <c r="C133" s="12" t="s">
        <v>45</v>
      </c>
      <c r="D133" s="12" t="s">
        <v>26</v>
      </c>
    </row>
    <row r="134" spans="1:4" x14ac:dyDescent="0.25">
      <c r="A134" s="8" t="s">
        <v>2</v>
      </c>
      <c r="B134" s="13" t="s">
        <v>96</v>
      </c>
      <c r="C134" s="20">
        <v>0.05</v>
      </c>
      <c r="D134" s="23">
        <f>D154*C134</f>
        <v>267.56860999999998</v>
      </c>
    </row>
    <row r="135" spans="1:4" x14ac:dyDescent="0.25">
      <c r="A135" s="8" t="s">
        <v>4</v>
      </c>
      <c r="B135" s="13" t="s">
        <v>97</v>
      </c>
      <c r="C135" s="20">
        <v>0.06</v>
      </c>
      <c r="D135" s="14">
        <f>(D154+D134)*C135</f>
        <v>337.13644859999999</v>
      </c>
    </row>
    <row r="136" spans="1:4" x14ac:dyDescent="0.25">
      <c r="A136" s="8" t="s">
        <v>6</v>
      </c>
      <c r="B136" s="13" t="s">
        <v>98</v>
      </c>
      <c r="C136" s="17">
        <f>SUM(C137:C142)</f>
        <v>8.6499999999999994E-2</v>
      </c>
      <c r="D136" s="14">
        <f>(D154+D134+D135)*C136/(1-C136)</f>
        <v>563.9854218597701</v>
      </c>
    </row>
    <row r="137" spans="1:4" x14ac:dyDescent="0.25">
      <c r="A137" s="8"/>
      <c r="B137" s="13" t="s">
        <v>99</v>
      </c>
      <c r="C137" s="20"/>
      <c r="D137" s="23">
        <f t="shared" ref="D137:D142" si="2">$D$156*C137</f>
        <v>0</v>
      </c>
    </row>
    <row r="138" spans="1:4" x14ac:dyDescent="0.25">
      <c r="A138" s="8"/>
      <c r="B138" s="13" t="s">
        <v>100</v>
      </c>
      <c r="C138" s="20">
        <v>6.4999999999999997E-3</v>
      </c>
      <c r="D138" s="23">
        <f t="shared" si="2"/>
        <v>42.380407422988505</v>
      </c>
    </row>
    <row r="139" spans="1:4" x14ac:dyDescent="0.25">
      <c r="A139" s="8"/>
      <c r="B139" s="13" t="s">
        <v>101</v>
      </c>
      <c r="C139" s="20">
        <v>0.03</v>
      </c>
      <c r="D139" s="23">
        <f t="shared" si="2"/>
        <v>195.60188041379311</v>
      </c>
    </row>
    <row r="140" spans="1:4" x14ac:dyDescent="0.25">
      <c r="A140" s="8"/>
      <c r="B140" s="13" t="s">
        <v>102</v>
      </c>
      <c r="C140" s="65"/>
      <c r="D140" s="23">
        <f t="shared" si="2"/>
        <v>0</v>
      </c>
    </row>
    <row r="141" spans="1:4" x14ac:dyDescent="0.25">
      <c r="A141" s="8"/>
      <c r="B141" s="13" t="s">
        <v>103</v>
      </c>
      <c r="C141" s="20"/>
      <c r="D141" s="23">
        <f t="shared" si="2"/>
        <v>0</v>
      </c>
    </row>
    <row r="142" spans="1:4" x14ac:dyDescent="0.25">
      <c r="A142" s="8"/>
      <c r="B142" s="13" t="s">
        <v>104</v>
      </c>
      <c r="C142" s="20">
        <v>0.05</v>
      </c>
      <c r="D142" s="23">
        <f t="shared" si="2"/>
        <v>326.00313402298855</v>
      </c>
    </row>
    <row r="143" spans="1:4" ht="13.5" customHeight="1" x14ac:dyDescent="0.25">
      <c r="A143" s="116" t="s">
        <v>56</v>
      </c>
      <c r="B143" s="116"/>
      <c r="C143" s="29">
        <f>ROUND((1+C135)*(1+C134)/(1-C136)-1,4)</f>
        <v>0.21840000000000001</v>
      </c>
      <c r="D143" s="19">
        <f>SUM(D134:D136)</f>
        <v>1168.6904804597702</v>
      </c>
    </row>
    <row r="146" spans="1:4" x14ac:dyDescent="0.25">
      <c r="A146" s="105" t="s">
        <v>105</v>
      </c>
      <c r="B146" s="105"/>
      <c r="C146" s="105"/>
      <c r="D146" s="105"/>
    </row>
    <row r="148" spans="1:4" ht="12.75" customHeight="1" x14ac:dyDescent="0.25">
      <c r="A148" s="12"/>
      <c r="B148" s="110" t="s">
        <v>106</v>
      </c>
      <c r="C148" s="110"/>
      <c r="D148" s="12" t="s">
        <v>26</v>
      </c>
    </row>
    <row r="149" spans="1:4" ht="12.75" customHeight="1" x14ac:dyDescent="0.25">
      <c r="A149" s="12" t="s">
        <v>2</v>
      </c>
      <c r="B149" s="111" t="s">
        <v>24</v>
      </c>
      <c r="C149" s="111"/>
      <c r="D149" s="30">
        <f>D33</f>
        <v>2675.4960000000001</v>
      </c>
    </row>
    <row r="150" spans="1:4" ht="12.75" customHeight="1" x14ac:dyDescent="0.25">
      <c r="A150" s="12" t="s">
        <v>4</v>
      </c>
      <c r="B150" s="111" t="s">
        <v>36</v>
      </c>
      <c r="C150" s="111"/>
      <c r="D150" s="30">
        <f>D76</f>
        <v>2245.2961999999998</v>
      </c>
    </row>
    <row r="151" spans="1:4" ht="12.75" customHeight="1" x14ac:dyDescent="0.25">
      <c r="A151" s="12" t="s">
        <v>6</v>
      </c>
      <c r="B151" s="111" t="s">
        <v>65</v>
      </c>
      <c r="C151" s="111"/>
      <c r="D151" s="30">
        <f>D88</f>
        <v>164.76999999999998</v>
      </c>
    </row>
    <row r="152" spans="1:4" ht="12.75" customHeight="1" x14ac:dyDescent="0.25">
      <c r="A152" s="12" t="s">
        <v>8</v>
      </c>
      <c r="B152" s="111" t="s">
        <v>73</v>
      </c>
      <c r="C152" s="111"/>
      <c r="D152" s="30">
        <f>D118</f>
        <v>98.190000000000012</v>
      </c>
    </row>
    <row r="153" spans="1:4" ht="12.75" customHeight="1" x14ac:dyDescent="0.25">
      <c r="A153" s="12" t="s">
        <v>31</v>
      </c>
      <c r="B153" s="111" t="s">
        <v>89</v>
      </c>
      <c r="C153" s="111"/>
      <c r="D153" s="30">
        <f>D128</f>
        <v>167.62</v>
      </c>
    </row>
    <row r="154" spans="1:4" ht="12.75" customHeight="1" x14ac:dyDescent="0.25">
      <c r="A154" s="110" t="s">
        <v>107</v>
      </c>
      <c r="B154" s="110"/>
      <c r="C154" s="110"/>
      <c r="D154" s="31">
        <f>SUM(D149:D153)</f>
        <v>5351.3721999999998</v>
      </c>
    </row>
    <row r="155" spans="1:4" ht="12.75" customHeight="1" x14ac:dyDescent="0.25">
      <c r="A155" s="12" t="s">
        <v>51</v>
      </c>
      <c r="B155" s="111" t="s">
        <v>108</v>
      </c>
      <c r="C155" s="111"/>
      <c r="D155" s="32">
        <f>D143</f>
        <v>1168.6904804597702</v>
      </c>
    </row>
    <row r="156" spans="1:4" ht="12.75" customHeight="1" x14ac:dyDescent="0.25">
      <c r="A156" s="110" t="s">
        <v>109</v>
      </c>
      <c r="B156" s="110"/>
      <c r="C156" s="110"/>
      <c r="D156" s="31">
        <f>SUM(D154:D155)</f>
        <v>6520.0626804597705</v>
      </c>
    </row>
  </sheetData>
  <mergeCells count="71">
    <mergeCell ref="A156:C156"/>
    <mergeCell ref="B151:C151"/>
    <mergeCell ref="B152:C152"/>
    <mergeCell ref="B153:C153"/>
    <mergeCell ref="A154:C154"/>
    <mergeCell ref="B155:C155"/>
    <mergeCell ref="A143:B143"/>
    <mergeCell ref="A146:D146"/>
    <mergeCell ref="B148:C148"/>
    <mergeCell ref="B149:C149"/>
    <mergeCell ref="B150:C150"/>
    <mergeCell ref="A118:C118"/>
    <mergeCell ref="A121:D121"/>
    <mergeCell ref="B123:C123"/>
    <mergeCell ref="A128:C128"/>
    <mergeCell ref="A131:D131"/>
    <mergeCell ref="A110:C110"/>
    <mergeCell ref="A113:D113"/>
    <mergeCell ref="B115:C115"/>
    <mergeCell ref="B116:C116"/>
    <mergeCell ref="B117:C117"/>
    <mergeCell ref="B96:C96"/>
    <mergeCell ref="A103:C103"/>
    <mergeCell ref="A106:D106"/>
    <mergeCell ref="B108:C108"/>
    <mergeCell ref="B109:C109"/>
    <mergeCell ref="A79:D79"/>
    <mergeCell ref="B81:C81"/>
    <mergeCell ref="A88:C88"/>
    <mergeCell ref="A91:D91"/>
    <mergeCell ref="A94:D94"/>
    <mergeCell ref="B72:C72"/>
    <mergeCell ref="B73:C73"/>
    <mergeCell ref="B74:C74"/>
    <mergeCell ref="B75:C75"/>
    <mergeCell ref="A76:C76"/>
    <mergeCell ref="B64:C64"/>
    <mergeCell ref="B65:C65"/>
    <mergeCell ref="B66:C66"/>
    <mergeCell ref="A67:C67"/>
    <mergeCell ref="A70:D70"/>
    <mergeCell ref="A46:D46"/>
    <mergeCell ref="A57:B57"/>
    <mergeCell ref="A60:D60"/>
    <mergeCell ref="B62:C62"/>
    <mergeCell ref="B63:C63"/>
    <mergeCell ref="A33:C33"/>
    <mergeCell ref="A36:D36"/>
    <mergeCell ref="A38:D38"/>
    <mergeCell ref="B40:C40"/>
    <mergeCell ref="A43:B43"/>
    <mergeCell ref="B28:C28"/>
    <mergeCell ref="B29:C29"/>
    <mergeCell ref="B30:C30"/>
    <mergeCell ref="B31:C31"/>
    <mergeCell ref="B32:C32"/>
    <mergeCell ref="C21:D21"/>
    <mergeCell ref="A23:D23"/>
    <mergeCell ref="B25:C25"/>
    <mergeCell ref="B26:C26"/>
    <mergeCell ref="B27:C27"/>
    <mergeCell ref="A15:D15"/>
    <mergeCell ref="C17:D17"/>
    <mergeCell ref="C18:D18"/>
    <mergeCell ref="C19:D19"/>
    <mergeCell ref="C20:D20"/>
    <mergeCell ref="A1:D1"/>
    <mergeCell ref="A3:D3"/>
    <mergeCell ref="A10:D10"/>
    <mergeCell ref="A12:B12"/>
    <mergeCell ref="A13:B13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6"/>
  <sheetViews>
    <sheetView topLeftCell="A16" zoomScale="115" zoomScaleNormal="115" workbookViewId="0">
      <selection activeCell="D127" sqref="D127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104" t="s">
        <v>0</v>
      </c>
      <c r="B1" s="104"/>
      <c r="C1" s="104"/>
      <c r="D1" s="104"/>
    </row>
    <row r="2" spans="1:4" ht="15.75" x14ac:dyDescent="0.25">
      <c r="A2" s="2"/>
      <c r="B2" s="2"/>
      <c r="C2" s="2"/>
      <c r="D2" s="2"/>
    </row>
    <row r="3" spans="1:4" x14ac:dyDescent="0.25">
      <c r="A3" s="105" t="s">
        <v>1</v>
      </c>
      <c r="B3" s="105"/>
      <c r="C3" s="105"/>
      <c r="D3" s="105"/>
    </row>
    <row r="4" spans="1:4" x14ac:dyDescent="0.25">
      <c r="A4" s="3"/>
      <c r="B4" s="3"/>
      <c r="C4" s="3"/>
      <c r="D4" s="3"/>
    </row>
    <row r="5" spans="1:4" x14ac:dyDescent="0.25">
      <c r="A5" s="4" t="s">
        <v>2</v>
      </c>
      <c r="B5" s="5" t="s">
        <v>3</v>
      </c>
      <c r="C5" s="6"/>
      <c r="D5" s="7"/>
    </row>
    <row r="6" spans="1:4" x14ac:dyDescent="0.25">
      <c r="A6" s="4" t="s">
        <v>4</v>
      </c>
      <c r="B6" s="5" t="s">
        <v>5</v>
      </c>
      <c r="C6" s="6"/>
      <c r="D6" s="7"/>
    </row>
    <row r="7" spans="1:4" x14ac:dyDescent="0.25">
      <c r="A7" s="4" t="s">
        <v>6</v>
      </c>
      <c r="B7" s="5" t="s">
        <v>7</v>
      </c>
      <c r="C7" s="6"/>
      <c r="D7" s="7"/>
    </row>
    <row r="8" spans="1:4" x14ac:dyDescent="0.25">
      <c r="A8" s="4" t="s">
        <v>8</v>
      </c>
      <c r="B8" s="5" t="s">
        <v>9</v>
      </c>
      <c r="C8" s="6"/>
      <c r="D8" s="7">
        <v>24</v>
      </c>
    </row>
    <row r="10" spans="1:4" x14ac:dyDescent="0.25">
      <c r="A10" s="105" t="s">
        <v>10</v>
      </c>
      <c r="B10" s="105"/>
      <c r="C10" s="105"/>
      <c r="D10" s="105"/>
    </row>
    <row r="11" spans="1:4" x14ac:dyDescent="0.25">
      <c r="A11" s="3"/>
      <c r="B11" s="3"/>
      <c r="C11" s="3"/>
      <c r="D11" s="3"/>
    </row>
    <row r="12" spans="1:4" ht="38.25" customHeight="1" x14ac:dyDescent="0.25">
      <c r="A12" s="106" t="s">
        <v>11</v>
      </c>
      <c r="B12" s="106"/>
      <c r="C12" s="8" t="s">
        <v>12</v>
      </c>
      <c r="D12" s="9" t="s">
        <v>13</v>
      </c>
    </row>
    <row r="13" spans="1:4" s="11" customFormat="1" ht="12.75" x14ac:dyDescent="0.2">
      <c r="A13" s="107" t="s">
        <v>117</v>
      </c>
      <c r="B13" s="107"/>
      <c r="C13" s="10" t="s">
        <v>15</v>
      </c>
      <c r="D13" s="10">
        <v>1</v>
      </c>
    </row>
    <row r="15" spans="1:4" x14ac:dyDescent="0.25">
      <c r="A15" s="105" t="s">
        <v>16</v>
      </c>
      <c r="B15" s="105"/>
      <c r="C15" s="105"/>
      <c r="D15" s="105"/>
    </row>
    <row r="16" spans="1:4" x14ac:dyDescent="0.25">
      <c r="A16" s="3"/>
      <c r="B16" s="3"/>
      <c r="C16" s="3"/>
      <c r="D16" s="3"/>
    </row>
    <row r="17" spans="1:4" x14ac:dyDescent="0.25">
      <c r="A17" s="4">
        <v>1</v>
      </c>
      <c r="B17" s="4" t="s">
        <v>17</v>
      </c>
      <c r="C17" s="108" t="s">
        <v>118</v>
      </c>
      <c r="D17" s="108"/>
    </row>
    <row r="18" spans="1:4" x14ac:dyDescent="0.25">
      <c r="A18" s="4">
        <v>2</v>
      </c>
      <c r="B18" s="4" t="s">
        <v>19</v>
      </c>
      <c r="C18" s="108" t="s">
        <v>119</v>
      </c>
      <c r="D18" s="108"/>
    </row>
    <row r="19" spans="1:4" x14ac:dyDescent="0.25">
      <c r="A19" s="4">
        <v>3</v>
      </c>
      <c r="B19" s="4" t="s">
        <v>21</v>
      </c>
      <c r="C19" s="108">
        <v>2229.58</v>
      </c>
      <c r="D19" s="108"/>
    </row>
    <row r="20" spans="1:4" x14ac:dyDescent="0.25">
      <c r="A20" s="4">
        <v>4</v>
      </c>
      <c r="B20" s="4" t="s">
        <v>22</v>
      </c>
      <c r="C20" s="108" t="s">
        <v>196</v>
      </c>
      <c r="D20" s="108"/>
    </row>
    <row r="21" spans="1:4" x14ac:dyDescent="0.25">
      <c r="A21" s="4">
        <v>5</v>
      </c>
      <c r="B21" s="4" t="s">
        <v>23</v>
      </c>
      <c r="C21" s="108"/>
      <c r="D21" s="108"/>
    </row>
    <row r="23" spans="1:4" x14ac:dyDescent="0.25">
      <c r="A23" s="105" t="s">
        <v>24</v>
      </c>
      <c r="B23" s="105"/>
      <c r="C23" s="105"/>
      <c r="D23" s="105"/>
    </row>
    <row r="25" spans="1:4" ht="12.75" customHeight="1" x14ac:dyDescent="0.25">
      <c r="A25" s="12">
        <v>1</v>
      </c>
      <c r="B25" s="110" t="s">
        <v>25</v>
      </c>
      <c r="C25" s="110"/>
      <c r="D25" s="12" t="s">
        <v>26</v>
      </c>
    </row>
    <row r="26" spans="1:4" ht="12.75" customHeight="1" x14ac:dyDescent="0.25">
      <c r="A26" s="8" t="s">
        <v>2</v>
      </c>
      <c r="B26" s="111" t="s">
        <v>27</v>
      </c>
      <c r="C26" s="111"/>
      <c r="D26" s="14">
        <v>2229.58</v>
      </c>
    </row>
    <row r="27" spans="1:4" ht="12.75" customHeight="1" x14ac:dyDescent="0.25">
      <c r="A27" s="8" t="s">
        <v>4</v>
      </c>
      <c r="B27" s="111" t="s">
        <v>28</v>
      </c>
      <c r="C27" s="111"/>
      <c r="D27" s="14">
        <f>D26*0.3</f>
        <v>668.87399999999991</v>
      </c>
    </row>
    <row r="28" spans="1:4" ht="12.75" customHeight="1" x14ac:dyDescent="0.25">
      <c r="A28" s="8" t="s">
        <v>6</v>
      </c>
      <c r="B28" s="111" t="s">
        <v>29</v>
      </c>
      <c r="C28" s="111"/>
      <c r="D28" s="14"/>
    </row>
    <row r="29" spans="1:4" ht="12.75" customHeight="1" x14ac:dyDescent="0.25">
      <c r="A29" s="8" t="s">
        <v>8</v>
      </c>
      <c r="B29" s="111" t="s">
        <v>30</v>
      </c>
      <c r="C29" s="111"/>
      <c r="D29" s="14"/>
    </row>
    <row r="30" spans="1:4" ht="12.75" customHeight="1" x14ac:dyDescent="0.25">
      <c r="A30" s="8" t="s">
        <v>31</v>
      </c>
      <c r="B30" s="111" t="s">
        <v>32</v>
      </c>
      <c r="C30" s="111"/>
      <c r="D30" s="14"/>
    </row>
    <row r="31" spans="1:4" x14ac:dyDescent="0.25">
      <c r="A31" s="8"/>
      <c r="B31" s="111"/>
      <c r="C31" s="111"/>
      <c r="D31" s="14"/>
    </row>
    <row r="32" spans="1:4" ht="12.75" customHeight="1" x14ac:dyDescent="0.25">
      <c r="A32" s="8" t="s">
        <v>33</v>
      </c>
      <c r="B32" s="111" t="s">
        <v>34</v>
      </c>
      <c r="C32" s="111"/>
      <c r="D32" s="14"/>
    </row>
    <row r="33" spans="1:4" ht="12.75" customHeight="1" x14ac:dyDescent="0.25">
      <c r="A33" s="110" t="s">
        <v>35</v>
      </c>
      <c r="B33" s="110"/>
      <c r="C33" s="110"/>
      <c r="D33" s="15">
        <f>SUM(D26:D32)</f>
        <v>2898.4539999999997</v>
      </c>
    </row>
    <row r="36" spans="1:4" x14ac:dyDescent="0.25">
      <c r="A36" s="105" t="s">
        <v>36</v>
      </c>
      <c r="B36" s="105"/>
      <c r="C36" s="105"/>
      <c r="D36" s="105"/>
    </row>
    <row r="37" spans="1:4" x14ac:dyDescent="0.25">
      <c r="A37" s="16"/>
    </row>
    <row r="38" spans="1:4" x14ac:dyDescent="0.25">
      <c r="A38" s="112" t="s">
        <v>37</v>
      </c>
      <c r="B38" s="112"/>
      <c r="C38" s="112"/>
      <c r="D38" s="112"/>
    </row>
    <row r="40" spans="1:4" ht="12.75" customHeight="1" x14ac:dyDescent="0.25">
      <c r="A40" s="12" t="s">
        <v>38</v>
      </c>
      <c r="B40" s="110" t="s">
        <v>39</v>
      </c>
      <c r="C40" s="110"/>
      <c r="D40" s="12" t="s">
        <v>26</v>
      </c>
    </row>
    <row r="41" spans="1:4" x14ac:dyDescent="0.25">
      <c r="A41" s="8" t="s">
        <v>2</v>
      </c>
      <c r="B41" s="13" t="s">
        <v>40</v>
      </c>
      <c r="C41" s="17">
        <f>TRUNC(1/12,4)</f>
        <v>8.3299999999999999E-2</v>
      </c>
      <c r="D41" s="14">
        <f>TRUNC($D$33*C41,2)</f>
        <v>241.44</v>
      </c>
    </row>
    <row r="42" spans="1:4" x14ac:dyDescent="0.25">
      <c r="A42" s="8" t="s">
        <v>4</v>
      </c>
      <c r="B42" s="13" t="s">
        <v>41</v>
      </c>
      <c r="C42" s="17">
        <f>TRUNC(((1+1/3)/12),4)</f>
        <v>0.1111</v>
      </c>
      <c r="D42" s="14">
        <f>TRUNC($D$33*C42,2)</f>
        <v>322.01</v>
      </c>
    </row>
    <row r="43" spans="1:4" ht="12.75" customHeight="1" x14ac:dyDescent="0.25">
      <c r="A43" s="110" t="s">
        <v>35</v>
      </c>
      <c r="B43" s="110"/>
      <c r="C43" s="18">
        <f>SUM(C41:C42)</f>
        <v>0.19440000000000002</v>
      </c>
      <c r="D43" s="19">
        <f>SUM(D41:D42)</f>
        <v>563.45000000000005</v>
      </c>
    </row>
    <row r="46" spans="1:4" ht="12.75" customHeight="1" x14ac:dyDescent="0.25">
      <c r="A46" s="113" t="s">
        <v>42</v>
      </c>
      <c r="B46" s="113"/>
      <c r="C46" s="113"/>
      <c r="D46" s="113"/>
    </row>
    <row r="48" spans="1:4" x14ac:dyDescent="0.25">
      <c r="A48" s="12" t="s">
        <v>43</v>
      </c>
      <c r="B48" s="12" t="s">
        <v>44</v>
      </c>
      <c r="C48" s="12" t="s">
        <v>45</v>
      </c>
      <c r="D48" s="12" t="s">
        <v>26</v>
      </c>
    </row>
    <row r="49" spans="1:4" x14ac:dyDescent="0.25">
      <c r="A49" s="8" t="s">
        <v>2</v>
      </c>
      <c r="B49" s="13" t="s">
        <v>46</v>
      </c>
      <c r="C49" s="20">
        <v>0.2</v>
      </c>
      <c r="D49" s="14">
        <f t="shared" ref="D49:D56" si="0">TRUNC(($D$33+$D$43)*C49,2)</f>
        <v>692.38</v>
      </c>
    </row>
    <row r="50" spans="1:4" x14ac:dyDescent="0.25">
      <c r="A50" s="8" t="s">
        <v>4</v>
      </c>
      <c r="B50" s="13" t="s">
        <v>47</v>
      </c>
      <c r="C50" s="20">
        <v>2.5000000000000001E-2</v>
      </c>
      <c r="D50" s="14">
        <f t="shared" si="0"/>
        <v>86.54</v>
      </c>
    </row>
    <row r="51" spans="1:4" x14ac:dyDescent="0.25">
      <c r="A51" s="8" t="s">
        <v>6</v>
      </c>
      <c r="B51" s="13" t="s">
        <v>48</v>
      </c>
      <c r="C51" s="21">
        <v>0.03</v>
      </c>
      <c r="D51" s="14">
        <f t="shared" si="0"/>
        <v>103.85</v>
      </c>
    </row>
    <row r="52" spans="1:4" x14ac:dyDescent="0.25">
      <c r="A52" s="8" t="s">
        <v>8</v>
      </c>
      <c r="B52" s="13" t="s">
        <v>49</v>
      </c>
      <c r="C52" s="20">
        <v>1.4999999999999999E-2</v>
      </c>
      <c r="D52" s="14">
        <f t="shared" si="0"/>
        <v>51.92</v>
      </c>
    </row>
    <row r="53" spans="1:4" x14ac:dyDescent="0.25">
      <c r="A53" s="8" t="s">
        <v>31</v>
      </c>
      <c r="B53" s="13" t="s">
        <v>50</v>
      </c>
      <c r="C53" s="20">
        <v>0.01</v>
      </c>
      <c r="D53" s="14">
        <f t="shared" si="0"/>
        <v>34.61</v>
      </c>
    </row>
    <row r="54" spans="1:4" x14ac:dyDescent="0.25">
      <c r="A54" s="8" t="s">
        <v>51</v>
      </c>
      <c r="B54" s="13" t="s">
        <v>52</v>
      </c>
      <c r="C54" s="20">
        <v>6.0000000000000001E-3</v>
      </c>
      <c r="D54" s="14">
        <f t="shared" si="0"/>
        <v>20.77</v>
      </c>
    </row>
    <row r="55" spans="1:4" x14ac:dyDescent="0.25">
      <c r="A55" s="8" t="s">
        <v>33</v>
      </c>
      <c r="B55" s="13" t="s">
        <v>53</v>
      </c>
      <c r="C55" s="20">
        <v>2E-3</v>
      </c>
      <c r="D55" s="14">
        <f t="shared" si="0"/>
        <v>6.92</v>
      </c>
    </row>
    <row r="56" spans="1:4" x14ac:dyDescent="0.25">
      <c r="A56" s="8" t="s">
        <v>54</v>
      </c>
      <c r="B56" s="13" t="s">
        <v>55</v>
      </c>
      <c r="C56" s="20">
        <v>0.08</v>
      </c>
      <c r="D56" s="14">
        <f t="shared" si="0"/>
        <v>276.95</v>
      </c>
    </row>
    <row r="57" spans="1:4" ht="12.75" customHeight="1" x14ac:dyDescent="0.25">
      <c r="A57" s="110" t="s">
        <v>56</v>
      </c>
      <c r="B57" s="110"/>
      <c r="C57" s="22">
        <f>SUM(C49:C56)</f>
        <v>0.36800000000000005</v>
      </c>
      <c r="D57" s="19">
        <f>SUM(D49:D56)</f>
        <v>1273.9399999999998</v>
      </c>
    </row>
    <row r="60" spans="1:4" x14ac:dyDescent="0.25">
      <c r="A60" s="112" t="s">
        <v>57</v>
      </c>
      <c r="B60" s="112"/>
      <c r="C60" s="112"/>
      <c r="D60" s="112"/>
    </row>
    <row r="62" spans="1:4" ht="12.75" customHeight="1" x14ac:dyDescent="0.25">
      <c r="A62" s="12" t="s">
        <v>58</v>
      </c>
      <c r="B62" s="114" t="s">
        <v>59</v>
      </c>
      <c r="C62" s="114"/>
      <c r="D62" s="12" t="s">
        <v>26</v>
      </c>
    </row>
    <row r="63" spans="1:4" ht="12.75" customHeight="1" x14ac:dyDescent="0.25">
      <c r="A63" s="8" t="s">
        <v>2</v>
      </c>
      <c r="B63" s="111" t="s">
        <v>60</v>
      </c>
      <c r="C63" s="111"/>
      <c r="D63" s="14">
        <f>IF((26*2*4.9)&gt;(D26*0.06),(26*2*4.9)-(D26*0.06),0)</f>
        <v>121.02520000000001</v>
      </c>
    </row>
    <row r="64" spans="1:4" ht="12.75" customHeight="1" x14ac:dyDescent="0.25">
      <c r="A64" s="8" t="s">
        <v>4</v>
      </c>
      <c r="B64" s="111" t="s">
        <v>61</v>
      </c>
      <c r="C64" s="111"/>
      <c r="D64" s="14">
        <f>22*20.49*0.95</f>
        <v>428.24099999999993</v>
      </c>
    </row>
    <row r="65" spans="1:5" ht="12.75" customHeight="1" x14ac:dyDescent="0.25">
      <c r="A65" s="8" t="s">
        <v>6</v>
      </c>
      <c r="B65" s="111" t="s">
        <v>62</v>
      </c>
      <c r="C65" s="111"/>
      <c r="D65" s="14"/>
    </row>
    <row r="66" spans="1:5" ht="12.75" customHeight="1" x14ac:dyDescent="0.25">
      <c r="A66" s="8" t="s">
        <v>8</v>
      </c>
      <c r="B66" s="111" t="s">
        <v>34</v>
      </c>
      <c r="C66" s="111"/>
      <c r="D66" s="14"/>
    </row>
    <row r="67" spans="1:5" ht="12.75" customHeight="1" x14ac:dyDescent="0.25">
      <c r="A67" s="110" t="s">
        <v>35</v>
      </c>
      <c r="B67" s="110"/>
      <c r="C67" s="110"/>
      <c r="D67" s="19">
        <f>SUM(D63:D66)</f>
        <v>549.26619999999991</v>
      </c>
    </row>
    <row r="70" spans="1:5" x14ac:dyDescent="0.25">
      <c r="A70" s="112" t="s">
        <v>63</v>
      </c>
      <c r="B70" s="112"/>
      <c r="C70" s="112"/>
      <c r="D70" s="112"/>
    </row>
    <row r="72" spans="1:5" ht="12.75" customHeight="1" x14ac:dyDescent="0.25">
      <c r="A72" s="12">
        <v>2</v>
      </c>
      <c r="B72" s="114" t="s">
        <v>64</v>
      </c>
      <c r="C72" s="114"/>
      <c r="D72" s="12" t="s">
        <v>26</v>
      </c>
    </row>
    <row r="73" spans="1:5" ht="12.75" customHeight="1" x14ac:dyDescent="0.25">
      <c r="A73" s="8" t="s">
        <v>38</v>
      </c>
      <c r="B73" s="111" t="s">
        <v>39</v>
      </c>
      <c r="C73" s="111"/>
      <c r="D73" s="23">
        <f>D43</f>
        <v>563.45000000000005</v>
      </c>
    </row>
    <row r="74" spans="1:5" ht="12.75" customHeight="1" x14ac:dyDescent="0.25">
      <c r="A74" s="8" t="s">
        <v>43</v>
      </c>
      <c r="B74" s="111" t="s">
        <v>44</v>
      </c>
      <c r="C74" s="111"/>
      <c r="D74" s="23">
        <f>D57</f>
        <v>1273.9399999999998</v>
      </c>
    </row>
    <row r="75" spans="1:5" ht="12.75" customHeight="1" x14ac:dyDescent="0.25">
      <c r="A75" s="8" t="s">
        <v>58</v>
      </c>
      <c r="B75" s="111" t="s">
        <v>59</v>
      </c>
      <c r="C75" s="111"/>
      <c r="D75" s="23">
        <f>D67</f>
        <v>549.26619999999991</v>
      </c>
    </row>
    <row r="76" spans="1:5" ht="12.75" customHeight="1" x14ac:dyDescent="0.25">
      <c r="A76" s="110" t="s">
        <v>35</v>
      </c>
      <c r="B76" s="110"/>
      <c r="C76" s="110"/>
      <c r="D76" s="19">
        <f>SUM(D73:D75)</f>
        <v>2386.6561999999999</v>
      </c>
    </row>
    <row r="77" spans="1:5" x14ac:dyDescent="0.25">
      <c r="A77" s="24"/>
      <c r="E77" s="25"/>
    </row>
    <row r="79" spans="1:5" x14ac:dyDescent="0.25">
      <c r="A79" s="105" t="s">
        <v>65</v>
      </c>
      <c r="B79" s="105"/>
      <c r="C79" s="105"/>
      <c r="D79" s="105"/>
      <c r="E79" s="26"/>
    </row>
    <row r="80" spans="1:5" ht="12.75" customHeight="1" x14ac:dyDescent="0.25">
      <c r="E80" s="25"/>
    </row>
    <row r="81" spans="1:4" ht="12.75" customHeight="1" x14ac:dyDescent="0.25">
      <c r="A81" s="12">
        <v>3</v>
      </c>
      <c r="B81" s="114" t="s">
        <v>66</v>
      </c>
      <c r="C81" s="114"/>
      <c r="D81" s="12" t="s">
        <v>26</v>
      </c>
    </row>
    <row r="82" spans="1:4" x14ac:dyDescent="0.25">
      <c r="A82" s="8" t="s">
        <v>2</v>
      </c>
      <c r="B82" s="27" t="s">
        <v>67</v>
      </c>
      <c r="C82" s="20">
        <f>TRUNC(((1/12)*5%),4)</f>
        <v>4.1000000000000003E-3</v>
      </c>
      <c r="D82" s="14">
        <f>TRUNC($D$33*C82,2)</f>
        <v>11.88</v>
      </c>
    </row>
    <row r="83" spans="1:4" x14ac:dyDescent="0.25">
      <c r="A83" s="8" t="s">
        <v>4</v>
      </c>
      <c r="B83" s="27" t="s">
        <v>68</v>
      </c>
      <c r="C83" s="20">
        <v>0.08</v>
      </c>
      <c r="D83" s="14">
        <f>TRUNC(D82*C83,2)</f>
        <v>0.95</v>
      </c>
    </row>
    <row r="84" spans="1:4" x14ac:dyDescent="0.25">
      <c r="A84" s="8" t="s">
        <v>6</v>
      </c>
      <c r="B84" s="27" t="s">
        <v>69</v>
      </c>
      <c r="C84" s="20">
        <f>TRUNC(8%*5%*40%,4)</f>
        <v>1.6000000000000001E-3</v>
      </c>
      <c r="D84" s="14">
        <f>TRUNC($D$33*C84,2)</f>
        <v>4.63</v>
      </c>
    </row>
    <row r="85" spans="1:4" x14ac:dyDescent="0.25">
      <c r="A85" s="8" t="s">
        <v>8</v>
      </c>
      <c r="B85" s="27" t="s">
        <v>70</v>
      </c>
      <c r="C85" s="20">
        <f>TRUNC(((7/30)/12)*95%,4)</f>
        <v>1.84E-2</v>
      </c>
      <c r="D85" s="14">
        <f>TRUNC($D$33*C85,2)</f>
        <v>53.33</v>
      </c>
    </row>
    <row r="86" spans="1:4" ht="25.5" x14ac:dyDescent="0.25">
      <c r="A86" s="8" t="s">
        <v>31</v>
      </c>
      <c r="B86" s="27" t="s">
        <v>71</v>
      </c>
      <c r="C86" s="20">
        <f>C57</f>
        <v>0.36800000000000005</v>
      </c>
      <c r="D86" s="14">
        <f>TRUNC(D85*C86,2)</f>
        <v>19.62</v>
      </c>
    </row>
    <row r="87" spans="1:4" x14ac:dyDescent="0.25">
      <c r="A87" s="8" t="s">
        <v>51</v>
      </c>
      <c r="B87" s="27" t="s">
        <v>72</v>
      </c>
      <c r="C87" s="20">
        <f>TRUNC(8%*95%*40%,4)</f>
        <v>3.04E-2</v>
      </c>
      <c r="D87" s="14">
        <f>TRUNC($D$33*C87,2)</f>
        <v>88.11</v>
      </c>
    </row>
    <row r="88" spans="1:4" ht="12.75" customHeight="1" x14ac:dyDescent="0.25">
      <c r="A88" s="110" t="s">
        <v>35</v>
      </c>
      <c r="B88" s="110"/>
      <c r="C88" s="110"/>
      <c r="D88" s="19">
        <f>SUM(D82:D87)</f>
        <v>178.51999999999998</v>
      </c>
    </row>
    <row r="91" spans="1:4" x14ac:dyDescent="0.25">
      <c r="A91" s="105" t="s">
        <v>73</v>
      </c>
      <c r="B91" s="105"/>
      <c r="C91" s="105"/>
      <c r="D91" s="105"/>
    </row>
    <row r="94" spans="1:4" x14ac:dyDescent="0.25">
      <c r="A94" s="112" t="s">
        <v>74</v>
      </c>
      <c r="B94" s="112"/>
      <c r="C94" s="112"/>
      <c r="D94" s="112"/>
    </row>
    <row r="95" spans="1:4" x14ac:dyDescent="0.25">
      <c r="A95" s="16"/>
    </row>
    <row r="96" spans="1:4" ht="12.75" customHeight="1" x14ac:dyDescent="0.25">
      <c r="A96" s="12" t="s">
        <v>75</v>
      </c>
      <c r="B96" s="114" t="s">
        <v>76</v>
      </c>
      <c r="C96" s="114"/>
      <c r="D96" s="12" t="s">
        <v>26</v>
      </c>
    </row>
    <row r="97" spans="1:6" x14ac:dyDescent="0.25">
      <c r="A97" s="8" t="s">
        <v>2</v>
      </c>
      <c r="B97" s="13" t="s">
        <v>77</v>
      </c>
      <c r="C97" s="20">
        <f>TRUNC(((1+1/3)/12)/12,4)</f>
        <v>9.1999999999999998E-3</v>
      </c>
      <c r="D97" s="14">
        <f t="shared" ref="D97:D102" si="1">TRUNC(($D$33+$D$76+$D$88)*C97,2)</f>
        <v>50.26</v>
      </c>
    </row>
    <row r="98" spans="1:6" x14ac:dyDescent="0.25">
      <c r="A98" s="8" t="s">
        <v>4</v>
      </c>
      <c r="B98" s="13" t="s">
        <v>78</v>
      </c>
      <c r="C98" s="20">
        <f>TRUNC(((2/30)/12),4)</f>
        <v>5.4999999999999997E-3</v>
      </c>
      <c r="D98" s="14">
        <f t="shared" si="1"/>
        <v>30.04</v>
      </c>
    </row>
    <row r="99" spans="1:6" x14ac:dyDescent="0.25">
      <c r="A99" s="8" t="s">
        <v>6</v>
      </c>
      <c r="B99" s="13" t="s">
        <v>79</v>
      </c>
      <c r="C99" s="20">
        <f>TRUNC(((5/30)/12)*2%,4)</f>
        <v>2.0000000000000001E-4</v>
      </c>
      <c r="D99" s="14">
        <f t="shared" si="1"/>
        <v>1.0900000000000001</v>
      </c>
    </row>
    <row r="100" spans="1:6" x14ac:dyDescent="0.25">
      <c r="A100" s="8" t="s">
        <v>8</v>
      </c>
      <c r="B100" s="13" t="s">
        <v>80</v>
      </c>
      <c r="C100" s="20">
        <f>TRUNC(((15/30)/12)*8%,4)</f>
        <v>3.3E-3</v>
      </c>
      <c r="D100" s="14">
        <f t="shared" si="1"/>
        <v>18.02</v>
      </c>
    </row>
    <row r="101" spans="1:6" x14ac:dyDescent="0.25">
      <c r="A101" s="8" t="s">
        <v>31</v>
      </c>
      <c r="B101" s="13" t="s">
        <v>81</v>
      </c>
      <c r="C101" s="20">
        <f>((1+1/3)/12)*3%*(4/12)</f>
        <v>1.1111111111111109E-3</v>
      </c>
      <c r="D101" s="14">
        <f t="shared" si="1"/>
        <v>6.07</v>
      </c>
    </row>
    <row r="102" spans="1:6" x14ac:dyDescent="0.25">
      <c r="A102" s="8" t="s">
        <v>51</v>
      </c>
      <c r="B102" s="13" t="s">
        <v>82</v>
      </c>
      <c r="C102" s="20"/>
      <c r="D102" s="14">
        <f t="shared" si="1"/>
        <v>0</v>
      </c>
    </row>
    <row r="103" spans="1:6" ht="12.75" customHeight="1" x14ac:dyDescent="0.25">
      <c r="A103" s="110" t="s">
        <v>56</v>
      </c>
      <c r="B103" s="110"/>
      <c r="C103" s="110"/>
      <c r="D103" s="19">
        <f>SUM(D97:D102)</f>
        <v>105.47999999999999</v>
      </c>
      <c r="E103" s="26"/>
      <c r="F103" s="26"/>
    </row>
    <row r="106" spans="1:6" x14ac:dyDescent="0.25">
      <c r="A106" s="112" t="s">
        <v>83</v>
      </c>
      <c r="B106" s="112"/>
      <c r="C106" s="112"/>
      <c r="D106" s="112"/>
    </row>
    <row r="107" spans="1:6" x14ac:dyDescent="0.25">
      <c r="A107" s="16"/>
    </row>
    <row r="108" spans="1:6" ht="12.75" customHeight="1" x14ac:dyDescent="0.25">
      <c r="A108" s="12" t="s">
        <v>84</v>
      </c>
      <c r="B108" s="114" t="s">
        <v>85</v>
      </c>
      <c r="C108" s="114"/>
      <c r="D108" s="12" t="s">
        <v>26</v>
      </c>
    </row>
    <row r="109" spans="1:6" ht="12.75" customHeight="1" x14ac:dyDescent="0.25">
      <c r="A109" s="8" t="s">
        <v>2</v>
      </c>
      <c r="B109" s="111" t="s">
        <v>86</v>
      </c>
      <c r="C109" s="111"/>
      <c r="D109" s="14">
        <f>((D33+D76+D88)/220)*22*0</f>
        <v>0</v>
      </c>
    </row>
    <row r="110" spans="1:6" ht="12.75" customHeight="1" x14ac:dyDescent="0.25">
      <c r="A110" s="110" t="s">
        <v>35</v>
      </c>
      <c r="B110" s="110"/>
      <c r="C110" s="110"/>
      <c r="D110" s="19">
        <f>SUM(D109)</f>
        <v>0</v>
      </c>
    </row>
    <row r="113" spans="1:4" x14ac:dyDescent="0.25">
      <c r="A113" s="112" t="s">
        <v>87</v>
      </c>
      <c r="B113" s="112"/>
      <c r="C113" s="112"/>
      <c r="D113" s="112"/>
    </row>
    <row r="114" spans="1:4" x14ac:dyDescent="0.25">
      <c r="A114" s="16"/>
    </row>
    <row r="115" spans="1:4" ht="12.75" customHeight="1" x14ac:dyDescent="0.25">
      <c r="A115" s="12">
        <v>4</v>
      </c>
      <c r="B115" s="110" t="s">
        <v>88</v>
      </c>
      <c r="C115" s="110"/>
      <c r="D115" s="12" t="s">
        <v>26</v>
      </c>
    </row>
    <row r="116" spans="1:4" ht="12.75" customHeight="1" x14ac:dyDescent="0.25">
      <c r="A116" s="8" t="s">
        <v>75</v>
      </c>
      <c r="B116" s="111" t="s">
        <v>76</v>
      </c>
      <c r="C116" s="111"/>
      <c r="D116" s="23">
        <f>D103</f>
        <v>105.47999999999999</v>
      </c>
    </row>
    <row r="117" spans="1:4" ht="12.75" customHeight="1" x14ac:dyDescent="0.25">
      <c r="A117" s="8" t="s">
        <v>84</v>
      </c>
      <c r="B117" s="111" t="s">
        <v>85</v>
      </c>
      <c r="C117" s="111"/>
      <c r="D117" s="23">
        <f>D110</f>
        <v>0</v>
      </c>
    </row>
    <row r="118" spans="1:4" ht="12.75" customHeight="1" x14ac:dyDescent="0.25">
      <c r="A118" s="110" t="s">
        <v>35</v>
      </c>
      <c r="B118" s="110"/>
      <c r="C118" s="110"/>
      <c r="D118" s="19">
        <f>SUM(D116:D117)</f>
        <v>105.47999999999999</v>
      </c>
    </row>
    <row r="121" spans="1:4" x14ac:dyDescent="0.25">
      <c r="A121" s="105" t="s">
        <v>89</v>
      </c>
      <c r="B121" s="105"/>
      <c r="C121" s="105"/>
      <c r="D121" s="105"/>
    </row>
    <row r="123" spans="1:4" ht="12.75" customHeight="1" x14ac:dyDescent="0.25">
      <c r="A123" s="12">
        <v>5</v>
      </c>
      <c r="B123" s="115" t="s">
        <v>90</v>
      </c>
      <c r="C123" s="115"/>
      <c r="D123" s="12" t="s">
        <v>26</v>
      </c>
    </row>
    <row r="124" spans="1:4" x14ac:dyDescent="0.25">
      <c r="A124" s="8" t="s">
        <v>2</v>
      </c>
      <c r="B124" s="13" t="s">
        <v>91</v>
      </c>
      <c r="C124" s="13"/>
      <c r="D124" s="14">
        <v>66.040000000000006</v>
      </c>
    </row>
    <row r="125" spans="1:4" x14ac:dyDescent="0.25">
      <c r="A125" s="8" t="s">
        <v>4</v>
      </c>
      <c r="B125" s="13" t="s">
        <v>92</v>
      </c>
      <c r="C125" s="13"/>
      <c r="D125" s="14">
        <v>61.36</v>
      </c>
    </row>
    <row r="126" spans="1:4" x14ac:dyDescent="0.25">
      <c r="A126" s="8" t="s">
        <v>6</v>
      </c>
      <c r="B126" s="13" t="s">
        <v>93</v>
      </c>
      <c r="C126" s="13"/>
      <c r="D126" s="14">
        <v>40.22</v>
      </c>
    </row>
    <row r="127" spans="1:4" x14ac:dyDescent="0.25">
      <c r="A127" s="8" t="s">
        <v>8</v>
      </c>
      <c r="B127" s="13" t="s">
        <v>34</v>
      </c>
      <c r="C127" s="13"/>
      <c r="D127" s="14"/>
    </row>
    <row r="128" spans="1:4" ht="12.75" customHeight="1" x14ac:dyDescent="0.25">
      <c r="A128" s="110" t="s">
        <v>56</v>
      </c>
      <c r="B128" s="110"/>
      <c r="C128" s="110"/>
      <c r="D128" s="15">
        <f>SUM(D124:D127)</f>
        <v>167.62</v>
      </c>
    </row>
    <row r="131" spans="1:4" x14ac:dyDescent="0.25">
      <c r="A131" s="105" t="s">
        <v>94</v>
      </c>
      <c r="B131" s="105"/>
      <c r="C131" s="105"/>
      <c r="D131" s="105"/>
    </row>
    <row r="133" spans="1:4" x14ac:dyDescent="0.25">
      <c r="A133" s="12">
        <v>6</v>
      </c>
      <c r="B133" s="28" t="s">
        <v>95</v>
      </c>
      <c r="C133" s="12" t="s">
        <v>45</v>
      </c>
      <c r="D133" s="12" t="s">
        <v>26</v>
      </c>
    </row>
    <row r="134" spans="1:4" x14ac:dyDescent="0.25">
      <c r="A134" s="8" t="s">
        <v>2</v>
      </c>
      <c r="B134" s="13" t="s">
        <v>96</v>
      </c>
      <c r="C134" s="20">
        <v>0.05</v>
      </c>
      <c r="D134" s="23">
        <f>D154*C134</f>
        <v>286.83650999999998</v>
      </c>
    </row>
    <row r="135" spans="1:4" x14ac:dyDescent="0.25">
      <c r="A135" s="8" t="s">
        <v>4</v>
      </c>
      <c r="B135" s="13" t="s">
        <v>97</v>
      </c>
      <c r="C135" s="20">
        <v>0.06</v>
      </c>
      <c r="D135" s="14">
        <f>(D154+D134)*C135</f>
        <v>361.41400259999995</v>
      </c>
    </row>
    <row r="136" spans="1:4" x14ac:dyDescent="0.25">
      <c r="A136" s="8" t="s">
        <v>6</v>
      </c>
      <c r="B136" s="13" t="s">
        <v>98</v>
      </c>
      <c r="C136" s="17">
        <f>SUM(C137:C142)</f>
        <v>8.6499999999999994E-2</v>
      </c>
      <c r="D136" s="14">
        <f>(D154+D134+D135)*C136/(1-C136)</f>
        <v>604.59861153793088</v>
      </c>
    </row>
    <row r="137" spans="1:4" x14ac:dyDescent="0.25">
      <c r="A137" s="8"/>
      <c r="B137" s="13" t="s">
        <v>99</v>
      </c>
      <c r="C137" s="20"/>
      <c r="D137" s="23">
        <f t="shared" ref="D137:D142" si="2">$D$156*C137</f>
        <v>0</v>
      </c>
    </row>
    <row r="138" spans="1:4" x14ac:dyDescent="0.25">
      <c r="A138" s="8"/>
      <c r="B138" s="13" t="s">
        <v>100</v>
      </c>
      <c r="C138" s="20">
        <v>6.4999999999999997E-3</v>
      </c>
      <c r="D138" s="23">
        <f t="shared" si="2"/>
        <v>45.432265606896543</v>
      </c>
    </row>
    <row r="139" spans="1:4" x14ac:dyDescent="0.25">
      <c r="A139" s="8"/>
      <c r="B139" s="13" t="s">
        <v>101</v>
      </c>
      <c r="C139" s="20">
        <v>0.03</v>
      </c>
      <c r="D139" s="23">
        <f t="shared" si="2"/>
        <v>209.68737972413788</v>
      </c>
    </row>
    <row r="140" spans="1:4" x14ac:dyDescent="0.25">
      <c r="A140" s="8"/>
      <c r="B140" s="13" t="s">
        <v>102</v>
      </c>
      <c r="C140" s="65"/>
      <c r="D140" s="23">
        <f t="shared" si="2"/>
        <v>0</v>
      </c>
    </row>
    <row r="141" spans="1:4" x14ac:dyDescent="0.25">
      <c r="A141" s="8"/>
      <c r="B141" s="13" t="s">
        <v>103</v>
      </c>
      <c r="C141" s="20"/>
      <c r="D141" s="23">
        <f t="shared" si="2"/>
        <v>0</v>
      </c>
    </row>
    <row r="142" spans="1:4" x14ac:dyDescent="0.25">
      <c r="A142" s="8"/>
      <c r="B142" s="13" t="s">
        <v>104</v>
      </c>
      <c r="C142" s="20">
        <v>0.05</v>
      </c>
      <c r="D142" s="23">
        <f t="shared" si="2"/>
        <v>349.47896620689653</v>
      </c>
    </row>
    <row r="143" spans="1:4" ht="13.5" customHeight="1" x14ac:dyDescent="0.25">
      <c r="A143" s="116" t="s">
        <v>56</v>
      </c>
      <c r="B143" s="116"/>
      <c r="C143" s="29">
        <f>ROUND((1+C135)*(1+C134)/(1-C136)-1,4)</f>
        <v>0.21840000000000001</v>
      </c>
      <c r="D143" s="19">
        <f>SUM(D134:D136)</f>
        <v>1252.8491241379306</v>
      </c>
    </row>
    <row r="146" spans="1:4" x14ac:dyDescent="0.25">
      <c r="A146" s="105" t="s">
        <v>105</v>
      </c>
      <c r="B146" s="105"/>
      <c r="C146" s="105"/>
      <c r="D146" s="105"/>
    </row>
    <row r="148" spans="1:4" ht="12.75" customHeight="1" x14ac:dyDescent="0.25">
      <c r="A148" s="12"/>
      <c r="B148" s="110" t="s">
        <v>106</v>
      </c>
      <c r="C148" s="110"/>
      <c r="D148" s="12" t="s">
        <v>26</v>
      </c>
    </row>
    <row r="149" spans="1:4" ht="12.75" customHeight="1" x14ac:dyDescent="0.25">
      <c r="A149" s="12" t="s">
        <v>2</v>
      </c>
      <c r="B149" s="111" t="s">
        <v>24</v>
      </c>
      <c r="C149" s="111"/>
      <c r="D149" s="30">
        <f>D33</f>
        <v>2898.4539999999997</v>
      </c>
    </row>
    <row r="150" spans="1:4" ht="12.75" customHeight="1" x14ac:dyDescent="0.25">
      <c r="A150" s="12" t="s">
        <v>4</v>
      </c>
      <c r="B150" s="111" t="s">
        <v>36</v>
      </c>
      <c r="C150" s="111"/>
      <c r="D150" s="30">
        <f>D76</f>
        <v>2386.6561999999999</v>
      </c>
    </row>
    <row r="151" spans="1:4" ht="12.75" customHeight="1" x14ac:dyDescent="0.25">
      <c r="A151" s="12" t="s">
        <v>6</v>
      </c>
      <c r="B151" s="111" t="s">
        <v>65</v>
      </c>
      <c r="C151" s="111"/>
      <c r="D151" s="30">
        <f>D88</f>
        <v>178.51999999999998</v>
      </c>
    </row>
    <row r="152" spans="1:4" ht="12.75" customHeight="1" x14ac:dyDescent="0.25">
      <c r="A152" s="12" t="s">
        <v>8</v>
      </c>
      <c r="B152" s="111" t="s">
        <v>73</v>
      </c>
      <c r="C152" s="111"/>
      <c r="D152" s="30">
        <f>D118</f>
        <v>105.47999999999999</v>
      </c>
    </row>
    <row r="153" spans="1:4" ht="12.75" customHeight="1" x14ac:dyDescent="0.25">
      <c r="A153" s="12" t="s">
        <v>31</v>
      </c>
      <c r="B153" s="111" t="s">
        <v>89</v>
      </c>
      <c r="C153" s="111"/>
      <c r="D153" s="30">
        <f>D128</f>
        <v>167.62</v>
      </c>
    </row>
    <row r="154" spans="1:4" ht="12.75" customHeight="1" x14ac:dyDescent="0.25">
      <c r="A154" s="110" t="s">
        <v>107</v>
      </c>
      <c r="B154" s="110"/>
      <c r="C154" s="110"/>
      <c r="D154" s="31">
        <f>SUM(D149:D153)</f>
        <v>5736.7301999999991</v>
      </c>
    </row>
    <row r="155" spans="1:4" ht="12.75" customHeight="1" x14ac:dyDescent="0.25">
      <c r="A155" s="12" t="s">
        <v>51</v>
      </c>
      <c r="B155" s="111" t="s">
        <v>108</v>
      </c>
      <c r="C155" s="111"/>
      <c r="D155" s="32">
        <f>D143</f>
        <v>1252.8491241379306</v>
      </c>
    </row>
    <row r="156" spans="1:4" ht="12.75" customHeight="1" x14ac:dyDescent="0.25">
      <c r="A156" s="110" t="s">
        <v>109</v>
      </c>
      <c r="B156" s="110"/>
      <c r="C156" s="110"/>
      <c r="D156" s="31">
        <f>SUM(D154:D155)</f>
        <v>6989.5793241379297</v>
      </c>
    </row>
  </sheetData>
  <mergeCells count="71">
    <mergeCell ref="A156:C156"/>
    <mergeCell ref="B151:C151"/>
    <mergeCell ref="B152:C152"/>
    <mergeCell ref="B153:C153"/>
    <mergeCell ref="A154:C154"/>
    <mergeCell ref="B155:C155"/>
    <mergeCell ref="A143:B143"/>
    <mergeCell ref="A146:D146"/>
    <mergeCell ref="B148:C148"/>
    <mergeCell ref="B149:C149"/>
    <mergeCell ref="B150:C150"/>
    <mergeCell ref="A118:C118"/>
    <mergeCell ref="A121:D121"/>
    <mergeCell ref="B123:C123"/>
    <mergeCell ref="A128:C128"/>
    <mergeCell ref="A131:D131"/>
    <mergeCell ref="A110:C110"/>
    <mergeCell ref="A113:D113"/>
    <mergeCell ref="B115:C115"/>
    <mergeCell ref="B116:C116"/>
    <mergeCell ref="B117:C117"/>
    <mergeCell ref="B96:C96"/>
    <mergeCell ref="A103:C103"/>
    <mergeCell ref="A106:D106"/>
    <mergeCell ref="B108:C108"/>
    <mergeCell ref="B109:C109"/>
    <mergeCell ref="A79:D79"/>
    <mergeCell ref="B81:C81"/>
    <mergeCell ref="A88:C88"/>
    <mergeCell ref="A91:D91"/>
    <mergeCell ref="A94:D94"/>
    <mergeCell ref="B72:C72"/>
    <mergeCell ref="B73:C73"/>
    <mergeCell ref="B74:C74"/>
    <mergeCell ref="B75:C75"/>
    <mergeCell ref="A76:C76"/>
    <mergeCell ref="B64:C64"/>
    <mergeCell ref="B65:C65"/>
    <mergeCell ref="B66:C66"/>
    <mergeCell ref="A67:C67"/>
    <mergeCell ref="A70:D70"/>
    <mergeCell ref="A46:D46"/>
    <mergeCell ref="A57:B57"/>
    <mergeCell ref="A60:D60"/>
    <mergeCell ref="B62:C62"/>
    <mergeCell ref="B63:C63"/>
    <mergeCell ref="A33:C33"/>
    <mergeCell ref="A36:D36"/>
    <mergeCell ref="A38:D38"/>
    <mergeCell ref="B40:C40"/>
    <mergeCell ref="A43:B43"/>
    <mergeCell ref="B28:C28"/>
    <mergeCell ref="B29:C29"/>
    <mergeCell ref="B30:C30"/>
    <mergeCell ref="B31:C31"/>
    <mergeCell ref="B32:C32"/>
    <mergeCell ref="C21:D21"/>
    <mergeCell ref="A23:D23"/>
    <mergeCell ref="B25:C25"/>
    <mergeCell ref="B26:C26"/>
    <mergeCell ref="B27:C27"/>
    <mergeCell ref="A15:D15"/>
    <mergeCell ref="C17:D17"/>
    <mergeCell ref="C18:D18"/>
    <mergeCell ref="C19:D19"/>
    <mergeCell ref="C20:D20"/>
    <mergeCell ref="A1:D1"/>
    <mergeCell ref="A3:D3"/>
    <mergeCell ref="A10:D10"/>
    <mergeCell ref="A12:B12"/>
    <mergeCell ref="A13:B13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6"/>
  <sheetViews>
    <sheetView topLeftCell="A91" zoomScale="115" zoomScaleNormal="115" workbookViewId="0">
      <selection activeCell="D116" sqref="D116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104" t="s">
        <v>0</v>
      </c>
      <c r="B1" s="104"/>
      <c r="C1" s="104"/>
      <c r="D1" s="104"/>
    </row>
    <row r="2" spans="1:4" ht="15.75" x14ac:dyDescent="0.25">
      <c r="A2" s="2"/>
      <c r="B2" s="2"/>
      <c r="C2" s="2"/>
      <c r="D2" s="2"/>
    </row>
    <row r="3" spans="1:4" x14ac:dyDescent="0.25">
      <c r="A3" s="105" t="s">
        <v>1</v>
      </c>
      <c r="B3" s="105"/>
      <c r="C3" s="105"/>
      <c r="D3" s="105"/>
    </row>
    <row r="4" spans="1:4" x14ac:dyDescent="0.25">
      <c r="A4" s="3"/>
      <c r="B4" s="3"/>
      <c r="C4" s="3"/>
      <c r="D4" s="3"/>
    </row>
    <row r="5" spans="1:4" x14ac:dyDescent="0.25">
      <c r="A5" s="4" t="s">
        <v>2</v>
      </c>
      <c r="B5" s="5" t="s">
        <v>3</v>
      </c>
      <c r="C5" s="6"/>
      <c r="D5" s="7"/>
    </row>
    <row r="6" spans="1:4" x14ac:dyDescent="0.25">
      <c r="A6" s="4" t="s">
        <v>4</v>
      </c>
      <c r="B6" s="5" t="s">
        <v>5</v>
      </c>
      <c r="C6" s="6"/>
      <c r="D6" s="7"/>
    </row>
    <row r="7" spans="1:4" x14ac:dyDescent="0.25">
      <c r="A7" s="4" t="s">
        <v>6</v>
      </c>
      <c r="B7" s="5" t="s">
        <v>7</v>
      </c>
      <c r="C7" s="6"/>
      <c r="D7" s="7"/>
    </row>
    <row r="8" spans="1:4" x14ac:dyDescent="0.25">
      <c r="A8" s="4" t="s">
        <v>8</v>
      </c>
      <c r="B8" s="5" t="s">
        <v>9</v>
      </c>
      <c r="C8" s="6"/>
      <c r="D8" s="7">
        <v>24</v>
      </c>
    </row>
    <row r="10" spans="1:4" x14ac:dyDescent="0.25">
      <c r="A10" s="105" t="s">
        <v>10</v>
      </c>
      <c r="B10" s="105"/>
      <c r="C10" s="105"/>
      <c r="D10" s="105"/>
    </row>
    <row r="11" spans="1:4" x14ac:dyDescent="0.25">
      <c r="A11" s="3"/>
      <c r="B11" s="3"/>
      <c r="C11" s="3"/>
      <c r="D11" s="3"/>
    </row>
    <row r="12" spans="1:4" ht="38.25" customHeight="1" x14ac:dyDescent="0.25">
      <c r="A12" s="106" t="s">
        <v>11</v>
      </c>
      <c r="B12" s="106"/>
      <c r="C12" s="8" t="s">
        <v>12</v>
      </c>
      <c r="D12" s="9" t="s">
        <v>13</v>
      </c>
    </row>
    <row r="13" spans="1:4" s="11" customFormat="1" ht="12.75" x14ac:dyDescent="0.2">
      <c r="A13" s="107" t="s">
        <v>120</v>
      </c>
      <c r="B13" s="107"/>
      <c r="C13" s="10" t="s">
        <v>15</v>
      </c>
      <c r="D13" s="10">
        <v>1</v>
      </c>
    </row>
    <row r="15" spans="1:4" x14ac:dyDescent="0.25">
      <c r="A15" s="105" t="s">
        <v>16</v>
      </c>
      <c r="B15" s="105"/>
      <c r="C15" s="105"/>
      <c r="D15" s="105"/>
    </row>
    <row r="16" spans="1:4" x14ac:dyDescent="0.25">
      <c r="A16" s="3"/>
      <c r="B16" s="3"/>
      <c r="C16" s="3"/>
      <c r="D16" s="3"/>
    </row>
    <row r="17" spans="1:4" x14ac:dyDescent="0.25">
      <c r="A17" s="4">
        <v>1</v>
      </c>
      <c r="B17" s="4" t="s">
        <v>17</v>
      </c>
      <c r="C17" s="108" t="s">
        <v>121</v>
      </c>
      <c r="D17" s="108"/>
    </row>
    <row r="18" spans="1:4" x14ac:dyDescent="0.25">
      <c r="A18" s="4">
        <v>2</v>
      </c>
      <c r="B18" s="4" t="s">
        <v>19</v>
      </c>
      <c r="C18" s="108" t="s">
        <v>122</v>
      </c>
      <c r="D18" s="108"/>
    </row>
    <row r="19" spans="1:4" x14ac:dyDescent="0.25">
      <c r="A19" s="4">
        <v>3</v>
      </c>
      <c r="B19" s="4" t="s">
        <v>21</v>
      </c>
      <c r="C19" s="108">
        <v>2087.89</v>
      </c>
      <c r="D19" s="108"/>
    </row>
    <row r="20" spans="1:4" x14ac:dyDescent="0.25">
      <c r="A20" s="4">
        <v>4</v>
      </c>
      <c r="B20" s="4" t="s">
        <v>22</v>
      </c>
      <c r="C20" s="108" t="s">
        <v>222</v>
      </c>
      <c r="D20" s="108"/>
    </row>
    <row r="21" spans="1:4" x14ac:dyDescent="0.25">
      <c r="A21" s="4">
        <v>5</v>
      </c>
      <c r="B21" s="4" t="s">
        <v>23</v>
      </c>
      <c r="C21" s="118">
        <v>45352</v>
      </c>
      <c r="D21" s="118"/>
    </row>
    <row r="23" spans="1:4" x14ac:dyDescent="0.25">
      <c r="A23" s="105" t="s">
        <v>24</v>
      </c>
      <c r="B23" s="105"/>
      <c r="C23" s="105"/>
      <c r="D23" s="105"/>
    </row>
    <row r="25" spans="1:4" ht="12.75" customHeight="1" x14ac:dyDescent="0.25">
      <c r="A25" s="12">
        <v>1</v>
      </c>
      <c r="B25" s="110" t="s">
        <v>25</v>
      </c>
      <c r="C25" s="110"/>
      <c r="D25" s="12" t="s">
        <v>26</v>
      </c>
    </row>
    <row r="26" spans="1:4" ht="12.75" customHeight="1" x14ac:dyDescent="0.25">
      <c r="A26" s="8" t="s">
        <v>2</v>
      </c>
      <c r="B26" s="111" t="s">
        <v>27</v>
      </c>
      <c r="C26" s="111"/>
      <c r="D26" s="14">
        <v>2087.89</v>
      </c>
    </row>
    <row r="27" spans="1:4" ht="12.75" customHeight="1" x14ac:dyDescent="0.25">
      <c r="A27" s="8" t="s">
        <v>4</v>
      </c>
      <c r="B27" s="111" t="s">
        <v>28</v>
      </c>
      <c r="C27" s="111"/>
      <c r="D27" s="14">
        <f>D26*0.3</f>
        <v>626.36699999999996</v>
      </c>
    </row>
    <row r="28" spans="1:4" ht="12.75" customHeight="1" x14ac:dyDescent="0.25">
      <c r="A28" s="8" t="s">
        <v>6</v>
      </c>
      <c r="B28" s="111" t="s">
        <v>29</v>
      </c>
      <c r="C28" s="111"/>
      <c r="D28" s="14"/>
    </row>
    <row r="29" spans="1:4" ht="12.75" customHeight="1" x14ac:dyDescent="0.25">
      <c r="A29" s="8" t="s">
        <v>8</v>
      </c>
      <c r="B29" s="111" t="s">
        <v>30</v>
      </c>
      <c r="C29" s="111"/>
      <c r="D29" s="14"/>
    </row>
    <row r="30" spans="1:4" ht="12.75" customHeight="1" x14ac:dyDescent="0.25">
      <c r="A30" s="8" t="s">
        <v>31</v>
      </c>
      <c r="B30" s="111" t="s">
        <v>32</v>
      </c>
      <c r="C30" s="111"/>
      <c r="D30" s="14"/>
    </row>
    <row r="31" spans="1:4" x14ac:dyDescent="0.25">
      <c r="A31" s="8"/>
      <c r="B31" s="111"/>
      <c r="C31" s="111"/>
      <c r="D31" s="14"/>
    </row>
    <row r="32" spans="1:4" ht="12.75" customHeight="1" x14ac:dyDescent="0.25">
      <c r="A32" s="8" t="s">
        <v>33</v>
      </c>
      <c r="B32" s="111" t="s">
        <v>34</v>
      </c>
      <c r="C32" s="111"/>
      <c r="D32" s="14"/>
    </row>
    <row r="33" spans="1:4" ht="12.75" customHeight="1" x14ac:dyDescent="0.25">
      <c r="A33" s="110" t="s">
        <v>35</v>
      </c>
      <c r="B33" s="110"/>
      <c r="C33" s="110"/>
      <c r="D33" s="15">
        <f>SUM(D26:D32)</f>
        <v>2714.2569999999996</v>
      </c>
    </row>
    <row r="36" spans="1:4" x14ac:dyDescent="0.25">
      <c r="A36" s="105" t="s">
        <v>36</v>
      </c>
      <c r="B36" s="105"/>
      <c r="C36" s="105"/>
      <c r="D36" s="105"/>
    </row>
    <row r="37" spans="1:4" x14ac:dyDescent="0.25">
      <c r="A37" s="16"/>
    </row>
    <row r="38" spans="1:4" x14ac:dyDescent="0.25">
      <c r="A38" s="112" t="s">
        <v>37</v>
      </c>
      <c r="B38" s="112"/>
      <c r="C38" s="112"/>
      <c r="D38" s="112"/>
    </row>
    <row r="40" spans="1:4" ht="12.75" customHeight="1" x14ac:dyDescent="0.25">
      <c r="A40" s="12" t="s">
        <v>38</v>
      </c>
      <c r="B40" s="110" t="s">
        <v>39</v>
      </c>
      <c r="C40" s="110"/>
      <c r="D40" s="12" t="s">
        <v>26</v>
      </c>
    </row>
    <row r="41" spans="1:4" x14ac:dyDescent="0.25">
      <c r="A41" s="8" t="s">
        <v>2</v>
      </c>
      <c r="B41" s="13" t="s">
        <v>40</v>
      </c>
      <c r="C41" s="17">
        <f>TRUNC(1/12,4)</f>
        <v>8.3299999999999999E-2</v>
      </c>
      <c r="D41" s="14">
        <f>TRUNC($D$33*C41,2)</f>
        <v>226.09</v>
      </c>
    </row>
    <row r="42" spans="1:4" x14ac:dyDescent="0.25">
      <c r="A42" s="8" t="s">
        <v>4</v>
      </c>
      <c r="B42" s="13" t="s">
        <v>41</v>
      </c>
      <c r="C42" s="17">
        <f>TRUNC(((1+1/3)/12),4)</f>
        <v>0.1111</v>
      </c>
      <c r="D42" s="14">
        <f>TRUNC($D$33*C42,2)</f>
        <v>301.55</v>
      </c>
    </row>
    <row r="43" spans="1:4" ht="12.75" customHeight="1" x14ac:dyDescent="0.25">
      <c r="A43" s="110" t="s">
        <v>35</v>
      </c>
      <c r="B43" s="110"/>
      <c r="C43" s="18">
        <f>SUM(C41:C42)</f>
        <v>0.19440000000000002</v>
      </c>
      <c r="D43" s="19">
        <f>SUM(D41:D42)</f>
        <v>527.64</v>
      </c>
    </row>
    <row r="46" spans="1:4" ht="12.75" customHeight="1" x14ac:dyDescent="0.25">
      <c r="A46" s="113" t="s">
        <v>42</v>
      </c>
      <c r="B46" s="113"/>
      <c r="C46" s="113"/>
      <c r="D46" s="113"/>
    </row>
    <row r="48" spans="1:4" x14ac:dyDescent="0.25">
      <c r="A48" s="12" t="s">
        <v>43</v>
      </c>
      <c r="B48" s="12" t="s">
        <v>44</v>
      </c>
      <c r="C48" s="12" t="s">
        <v>45</v>
      </c>
      <c r="D48" s="12" t="s">
        <v>26</v>
      </c>
    </row>
    <row r="49" spans="1:4" x14ac:dyDescent="0.25">
      <c r="A49" s="8" t="s">
        <v>2</v>
      </c>
      <c r="B49" s="13" t="s">
        <v>46</v>
      </c>
      <c r="C49" s="20">
        <v>0.2</v>
      </c>
      <c r="D49" s="14">
        <f t="shared" ref="D49:D56" si="0">TRUNC(($D$33+$D$43)*C49,2)</f>
        <v>648.37</v>
      </c>
    </row>
    <row r="50" spans="1:4" x14ac:dyDescent="0.25">
      <c r="A50" s="8" t="s">
        <v>4</v>
      </c>
      <c r="B50" s="13" t="s">
        <v>47</v>
      </c>
      <c r="C50" s="20">
        <v>2.5000000000000001E-2</v>
      </c>
      <c r="D50" s="14">
        <f t="shared" si="0"/>
        <v>81.040000000000006</v>
      </c>
    </row>
    <row r="51" spans="1:4" x14ac:dyDescent="0.25">
      <c r="A51" s="8" t="s">
        <v>6</v>
      </c>
      <c r="B51" s="13" t="s">
        <v>48</v>
      </c>
      <c r="C51" s="21">
        <v>0.03</v>
      </c>
      <c r="D51" s="14">
        <f t="shared" si="0"/>
        <v>97.25</v>
      </c>
    </row>
    <row r="52" spans="1:4" x14ac:dyDescent="0.25">
      <c r="A52" s="8" t="s">
        <v>8</v>
      </c>
      <c r="B52" s="13" t="s">
        <v>49</v>
      </c>
      <c r="C52" s="20">
        <v>1.4999999999999999E-2</v>
      </c>
      <c r="D52" s="14">
        <f t="shared" si="0"/>
        <v>48.62</v>
      </c>
    </row>
    <row r="53" spans="1:4" x14ac:dyDescent="0.25">
      <c r="A53" s="8" t="s">
        <v>31</v>
      </c>
      <c r="B53" s="13" t="s">
        <v>50</v>
      </c>
      <c r="C53" s="20">
        <v>0.01</v>
      </c>
      <c r="D53" s="14">
        <f t="shared" si="0"/>
        <v>32.409999999999997</v>
      </c>
    </row>
    <row r="54" spans="1:4" x14ac:dyDescent="0.25">
      <c r="A54" s="8" t="s">
        <v>51</v>
      </c>
      <c r="B54" s="13" t="s">
        <v>52</v>
      </c>
      <c r="C54" s="20">
        <v>6.0000000000000001E-3</v>
      </c>
      <c r="D54" s="14">
        <f t="shared" si="0"/>
        <v>19.45</v>
      </c>
    </row>
    <row r="55" spans="1:4" x14ac:dyDescent="0.25">
      <c r="A55" s="8" t="s">
        <v>33</v>
      </c>
      <c r="B55" s="13" t="s">
        <v>53</v>
      </c>
      <c r="C55" s="20">
        <v>2E-3</v>
      </c>
      <c r="D55" s="14">
        <f t="shared" si="0"/>
        <v>6.48</v>
      </c>
    </row>
    <row r="56" spans="1:4" x14ac:dyDescent="0.25">
      <c r="A56" s="8" t="s">
        <v>54</v>
      </c>
      <c r="B56" s="13" t="s">
        <v>55</v>
      </c>
      <c r="C56" s="20">
        <v>0.08</v>
      </c>
      <c r="D56" s="14">
        <f t="shared" si="0"/>
        <v>259.35000000000002</v>
      </c>
    </row>
    <row r="57" spans="1:4" ht="12.75" customHeight="1" x14ac:dyDescent="0.25">
      <c r="A57" s="110" t="s">
        <v>56</v>
      </c>
      <c r="B57" s="110"/>
      <c r="C57" s="22">
        <f>SUM(C49:C56)</f>
        <v>0.36800000000000005</v>
      </c>
      <c r="D57" s="19">
        <f>SUM(D49:D56)</f>
        <v>1192.97</v>
      </c>
    </row>
    <row r="60" spans="1:4" x14ac:dyDescent="0.25">
      <c r="A60" s="112" t="s">
        <v>57</v>
      </c>
      <c r="B60" s="112"/>
      <c r="C60" s="112"/>
      <c r="D60" s="112"/>
    </row>
    <row r="62" spans="1:4" ht="12.75" customHeight="1" x14ac:dyDescent="0.25">
      <c r="A62" s="12" t="s">
        <v>58</v>
      </c>
      <c r="B62" s="114" t="s">
        <v>59</v>
      </c>
      <c r="C62" s="114"/>
      <c r="D62" s="12" t="s">
        <v>26</v>
      </c>
    </row>
    <row r="63" spans="1:4" ht="12.75" customHeight="1" x14ac:dyDescent="0.25">
      <c r="A63" s="8" t="s">
        <v>2</v>
      </c>
      <c r="B63" s="111" t="s">
        <v>60</v>
      </c>
      <c r="C63" s="111"/>
      <c r="D63" s="14">
        <f>IF((15*2*4.9)&gt;(D26*0.06),(15*2*4.9)-(D26*0.06),0)</f>
        <v>21.726600000000019</v>
      </c>
    </row>
    <row r="64" spans="1:4" ht="12.75" customHeight="1" x14ac:dyDescent="0.25">
      <c r="A64" s="8" t="s">
        <v>4</v>
      </c>
      <c r="B64" s="111" t="s">
        <v>61</v>
      </c>
      <c r="C64" s="111"/>
      <c r="D64" s="14">
        <f>15*21.07</f>
        <v>316.05</v>
      </c>
    </row>
    <row r="65" spans="1:5" ht="12.75" customHeight="1" x14ac:dyDescent="0.25">
      <c r="A65" s="8" t="s">
        <v>6</v>
      </c>
      <c r="B65" s="111" t="s">
        <v>123</v>
      </c>
      <c r="C65" s="111"/>
      <c r="D65" s="14">
        <v>25.21</v>
      </c>
    </row>
    <row r="66" spans="1:5" ht="12.75" customHeight="1" x14ac:dyDescent="0.25">
      <c r="A66" s="8" t="s">
        <v>8</v>
      </c>
      <c r="B66" s="111" t="s">
        <v>195</v>
      </c>
      <c r="C66" s="111"/>
      <c r="D66" s="14">
        <v>183.24</v>
      </c>
    </row>
    <row r="67" spans="1:5" ht="12.75" customHeight="1" x14ac:dyDescent="0.25">
      <c r="A67" s="110" t="s">
        <v>35</v>
      </c>
      <c r="B67" s="110"/>
      <c r="C67" s="110"/>
      <c r="D67" s="19">
        <f>SUM(D63:D66)</f>
        <v>546.22659999999996</v>
      </c>
    </row>
    <row r="70" spans="1:5" x14ac:dyDescent="0.25">
      <c r="A70" s="112" t="s">
        <v>63</v>
      </c>
      <c r="B70" s="112"/>
      <c r="C70" s="112"/>
      <c r="D70" s="112"/>
    </row>
    <row r="72" spans="1:5" ht="12.75" customHeight="1" x14ac:dyDescent="0.25">
      <c r="A72" s="12">
        <v>2</v>
      </c>
      <c r="B72" s="114" t="s">
        <v>64</v>
      </c>
      <c r="C72" s="114"/>
      <c r="D72" s="12" t="s">
        <v>26</v>
      </c>
    </row>
    <row r="73" spans="1:5" ht="12.75" customHeight="1" x14ac:dyDescent="0.25">
      <c r="A73" s="8" t="s">
        <v>38</v>
      </c>
      <c r="B73" s="111" t="s">
        <v>39</v>
      </c>
      <c r="C73" s="111"/>
      <c r="D73" s="23">
        <f>D43</f>
        <v>527.64</v>
      </c>
    </row>
    <row r="74" spans="1:5" ht="12.75" customHeight="1" x14ac:dyDescent="0.25">
      <c r="A74" s="8" t="s">
        <v>43</v>
      </c>
      <c r="B74" s="111" t="s">
        <v>44</v>
      </c>
      <c r="C74" s="111"/>
      <c r="D74" s="23">
        <f>D57</f>
        <v>1192.97</v>
      </c>
    </row>
    <row r="75" spans="1:5" ht="12.75" customHeight="1" x14ac:dyDescent="0.25">
      <c r="A75" s="8" t="s">
        <v>58</v>
      </c>
      <c r="B75" s="111" t="s">
        <v>59</v>
      </c>
      <c r="C75" s="111"/>
      <c r="D75" s="23">
        <f>D67</f>
        <v>546.22659999999996</v>
      </c>
    </row>
    <row r="76" spans="1:5" ht="12.75" customHeight="1" x14ac:dyDescent="0.25">
      <c r="A76" s="110" t="s">
        <v>35</v>
      </c>
      <c r="B76" s="110"/>
      <c r="C76" s="110"/>
      <c r="D76" s="19">
        <f>SUM(D73:D75)</f>
        <v>2266.8366000000001</v>
      </c>
    </row>
    <row r="77" spans="1:5" x14ac:dyDescent="0.25">
      <c r="A77" s="24"/>
      <c r="E77" s="25"/>
    </row>
    <row r="79" spans="1:5" x14ac:dyDescent="0.25">
      <c r="A79" s="105" t="s">
        <v>65</v>
      </c>
      <c r="B79" s="105"/>
      <c r="C79" s="105"/>
      <c r="D79" s="105"/>
      <c r="E79" s="26"/>
    </row>
    <row r="80" spans="1:5" ht="12.75" customHeight="1" x14ac:dyDescent="0.25">
      <c r="E80" s="25"/>
    </row>
    <row r="81" spans="1:4" ht="12.75" customHeight="1" x14ac:dyDescent="0.25">
      <c r="A81" s="12">
        <v>3</v>
      </c>
      <c r="B81" s="114" t="s">
        <v>66</v>
      </c>
      <c r="C81" s="114"/>
      <c r="D81" s="12" t="s">
        <v>26</v>
      </c>
    </row>
    <row r="82" spans="1:4" x14ac:dyDescent="0.25">
      <c r="A82" s="8" t="s">
        <v>2</v>
      </c>
      <c r="B82" s="27" t="s">
        <v>67</v>
      </c>
      <c r="C82" s="20">
        <f>TRUNC(((1/12)*5%),4)</f>
        <v>4.1000000000000003E-3</v>
      </c>
      <c r="D82" s="14">
        <f>TRUNC($D$33*C82,2)</f>
        <v>11.12</v>
      </c>
    </row>
    <row r="83" spans="1:4" x14ac:dyDescent="0.25">
      <c r="A83" s="8" t="s">
        <v>4</v>
      </c>
      <c r="B83" s="27" t="s">
        <v>68</v>
      </c>
      <c r="C83" s="20">
        <v>0.08</v>
      </c>
      <c r="D83" s="14">
        <f>TRUNC(D82*C83,2)</f>
        <v>0.88</v>
      </c>
    </row>
    <row r="84" spans="1:4" x14ac:dyDescent="0.25">
      <c r="A84" s="8" t="s">
        <v>6</v>
      </c>
      <c r="B84" s="27" t="s">
        <v>69</v>
      </c>
      <c r="C84" s="20">
        <f>TRUNC(8%*5%*40%,4)</f>
        <v>1.6000000000000001E-3</v>
      </c>
      <c r="D84" s="14">
        <f>TRUNC($D$33*C84,2)</f>
        <v>4.34</v>
      </c>
    </row>
    <row r="85" spans="1:4" x14ac:dyDescent="0.25">
      <c r="A85" s="8" t="s">
        <v>8</v>
      </c>
      <c r="B85" s="27" t="s">
        <v>70</v>
      </c>
      <c r="C85" s="20">
        <f>TRUNC(((7/30)/12)*95%,4)</f>
        <v>1.84E-2</v>
      </c>
      <c r="D85" s="14">
        <f>TRUNC($D$33*C85,2)</f>
        <v>49.94</v>
      </c>
    </row>
    <row r="86" spans="1:4" ht="25.5" x14ac:dyDescent="0.25">
      <c r="A86" s="8" t="s">
        <v>31</v>
      </c>
      <c r="B86" s="27" t="s">
        <v>71</v>
      </c>
      <c r="C86" s="20">
        <f>C57</f>
        <v>0.36800000000000005</v>
      </c>
      <c r="D86" s="14">
        <f>TRUNC(D85*C86,2)</f>
        <v>18.37</v>
      </c>
    </row>
    <row r="87" spans="1:4" x14ac:dyDescent="0.25">
      <c r="A87" s="8" t="s">
        <v>51</v>
      </c>
      <c r="B87" s="27" t="s">
        <v>72</v>
      </c>
      <c r="C87" s="20">
        <f>TRUNC(8%*95%*40%,4)</f>
        <v>3.04E-2</v>
      </c>
      <c r="D87" s="14">
        <f>TRUNC($D$33*C87,2)</f>
        <v>82.51</v>
      </c>
    </row>
    <row r="88" spans="1:4" ht="12.75" customHeight="1" x14ac:dyDescent="0.25">
      <c r="A88" s="110" t="s">
        <v>35</v>
      </c>
      <c r="B88" s="110"/>
      <c r="C88" s="110"/>
      <c r="D88" s="19">
        <f>SUM(D82:D87)</f>
        <v>167.16000000000003</v>
      </c>
    </row>
    <row r="91" spans="1:4" x14ac:dyDescent="0.25">
      <c r="A91" s="105" t="s">
        <v>73</v>
      </c>
      <c r="B91" s="105"/>
      <c r="C91" s="105"/>
      <c r="D91" s="105"/>
    </row>
    <row r="94" spans="1:4" x14ac:dyDescent="0.25">
      <c r="A94" s="112" t="s">
        <v>74</v>
      </c>
      <c r="B94" s="112"/>
      <c r="C94" s="112"/>
      <c r="D94" s="112"/>
    </row>
    <row r="95" spans="1:4" x14ac:dyDescent="0.25">
      <c r="A95" s="16"/>
    </row>
    <row r="96" spans="1:4" ht="12.75" customHeight="1" x14ac:dyDescent="0.25">
      <c r="A96" s="12" t="s">
        <v>75</v>
      </c>
      <c r="B96" s="114" t="s">
        <v>76</v>
      </c>
      <c r="C96" s="114"/>
      <c r="D96" s="12" t="s">
        <v>26</v>
      </c>
    </row>
    <row r="97" spans="1:6" x14ac:dyDescent="0.25">
      <c r="A97" s="8" t="s">
        <v>2</v>
      </c>
      <c r="B97" s="13" t="s">
        <v>77</v>
      </c>
      <c r="C97" s="20">
        <f>TRUNC(((1+1/3)/12)/12,4)</f>
        <v>9.1999999999999998E-3</v>
      </c>
      <c r="D97" s="14">
        <f t="shared" ref="D97:D102" si="1">TRUNC(($D$33+$D$76+$D$88)*C97,2)</f>
        <v>47.36</v>
      </c>
    </row>
    <row r="98" spans="1:6" x14ac:dyDescent="0.25">
      <c r="A98" s="8" t="s">
        <v>4</v>
      </c>
      <c r="B98" s="13" t="s">
        <v>78</v>
      </c>
      <c r="C98" s="20">
        <f>TRUNC(((2/30)/12),4)</f>
        <v>5.4999999999999997E-3</v>
      </c>
      <c r="D98" s="14">
        <f t="shared" si="1"/>
        <v>28.31</v>
      </c>
    </row>
    <row r="99" spans="1:6" x14ac:dyDescent="0.25">
      <c r="A99" s="8" t="s">
        <v>6</v>
      </c>
      <c r="B99" s="13" t="s">
        <v>79</v>
      </c>
      <c r="C99" s="20">
        <f>TRUNC(((5/30)/12)*2%,4)</f>
        <v>2.0000000000000001E-4</v>
      </c>
      <c r="D99" s="14">
        <f t="shared" si="1"/>
        <v>1.02</v>
      </c>
    </row>
    <row r="100" spans="1:6" x14ac:dyDescent="0.25">
      <c r="A100" s="8" t="s">
        <v>8</v>
      </c>
      <c r="B100" s="13" t="s">
        <v>80</v>
      </c>
      <c r="C100" s="20">
        <f>TRUNC(((15/30)/12)*8%,4)</f>
        <v>3.3E-3</v>
      </c>
      <c r="D100" s="14">
        <f t="shared" si="1"/>
        <v>16.98</v>
      </c>
    </row>
    <row r="101" spans="1:6" x14ac:dyDescent="0.25">
      <c r="A101" s="8" t="s">
        <v>31</v>
      </c>
      <c r="B101" s="13" t="s">
        <v>81</v>
      </c>
      <c r="C101" s="20">
        <f>((1+1/3)/12)*3%*(4/12)</f>
        <v>1.1111111111111109E-3</v>
      </c>
      <c r="D101" s="14">
        <f t="shared" si="1"/>
        <v>5.72</v>
      </c>
    </row>
    <row r="102" spans="1:6" x14ac:dyDescent="0.25">
      <c r="A102" s="8" t="s">
        <v>51</v>
      </c>
      <c r="B102" s="13" t="s">
        <v>82</v>
      </c>
      <c r="C102" s="20"/>
      <c r="D102" s="14">
        <f t="shared" si="1"/>
        <v>0</v>
      </c>
    </row>
    <row r="103" spans="1:6" ht="12.75" customHeight="1" x14ac:dyDescent="0.25">
      <c r="A103" s="110" t="s">
        <v>56</v>
      </c>
      <c r="B103" s="110"/>
      <c r="C103" s="110"/>
      <c r="D103" s="19">
        <f>SUM(D97:D102)</f>
        <v>99.39</v>
      </c>
      <c r="E103" s="26"/>
      <c r="F103" s="26"/>
    </row>
    <row r="106" spans="1:6" x14ac:dyDescent="0.25">
      <c r="A106" s="112" t="s">
        <v>83</v>
      </c>
      <c r="B106" s="112"/>
      <c r="C106" s="112"/>
      <c r="D106" s="112"/>
    </row>
    <row r="107" spans="1:6" x14ac:dyDescent="0.25">
      <c r="A107" s="16"/>
    </row>
    <row r="108" spans="1:6" ht="12.75" customHeight="1" x14ac:dyDescent="0.25">
      <c r="A108" s="12" t="s">
        <v>84</v>
      </c>
      <c r="B108" s="114" t="s">
        <v>85</v>
      </c>
      <c r="C108" s="114"/>
      <c r="D108" s="12" t="s">
        <v>26</v>
      </c>
    </row>
    <row r="109" spans="1:6" ht="12.75" customHeight="1" x14ac:dyDescent="0.25">
      <c r="A109" s="8" t="s">
        <v>2</v>
      </c>
      <c r="B109" s="111" t="s">
        <v>86</v>
      </c>
      <c r="C109" s="111"/>
      <c r="D109" s="14">
        <f>((D33+D76+D88)/220)*15*0</f>
        <v>0</v>
      </c>
    </row>
    <row r="110" spans="1:6" ht="12.75" customHeight="1" x14ac:dyDescent="0.25">
      <c r="A110" s="110" t="s">
        <v>35</v>
      </c>
      <c r="B110" s="110"/>
      <c r="C110" s="110"/>
      <c r="D110" s="19">
        <f>SUM(D109)</f>
        <v>0</v>
      </c>
    </row>
    <row r="113" spans="1:4" x14ac:dyDescent="0.25">
      <c r="A113" s="112" t="s">
        <v>87</v>
      </c>
      <c r="B113" s="112"/>
      <c r="C113" s="112"/>
      <c r="D113" s="112"/>
    </row>
    <row r="114" spans="1:4" x14ac:dyDescent="0.25">
      <c r="A114" s="16"/>
    </row>
    <row r="115" spans="1:4" ht="12.75" customHeight="1" x14ac:dyDescent="0.25">
      <c r="A115" s="12">
        <v>4</v>
      </c>
      <c r="B115" s="110" t="s">
        <v>88</v>
      </c>
      <c r="C115" s="110"/>
      <c r="D115" s="12" t="s">
        <v>26</v>
      </c>
    </row>
    <row r="116" spans="1:4" ht="12.75" customHeight="1" x14ac:dyDescent="0.25">
      <c r="A116" s="8" t="s">
        <v>75</v>
      </c>
      <c r="B116" s="111" t="s">
        <v>76</v>
      </c>
      <c r="C116" s="111"/>
      <c r="D116" s="23">
        <f>D103</f>
        <v>99.39</v>
      </c>
    </row>
    <row r="117" spans="1:4" ht="12.75" customHeight="1" x14ac:dyDescent="0.25">
      <c r="A117" s="8" t="s">
        <v>84</v>
      </c>
      <c r="B117" s="111" t="s">
        <v>85</v>
      </c>
      <c r="C117" s="111"/>
      <c r="D117" s="23">
        <f>D110</f>
        <v>0</v>
      </c>
    </row>
    <row r="118" spans="1:4" ht="12.75" customHeight="1" x14ac:dyDescent="0.25">
      <c r="A118" s="110" t="s">
        <v>35</v>
      </c>
      <c r="B118" s="110"/>
      <c r="C118" s="110"/>
      <c r="D118" s="19">
        <f>SUM(D116:D117)</f>
        <v>99.39</v>
      </c>
    </row>
    <row r="121" spans="1:4" x14ac:dyDescent="0.25">
      <c r="A121" s="105" t="s">
        <v>89</v>
      </c>
      <c r="B121" s="105"/>
      <c r="C121" s="105"/>
      <c r="D121" s="105"/>
    </row>
    <row r="123" spans="1:4" ht="12.75" customHeight="1" x14ac:dyDescent="0.25">
      <c r="A123" s="12">
        <v>5</v>
      </c>
      <c r="B123" s="115" t="s">
        <v>90</v>
      </c>
      <c r="C123" s="115"/>
      <c r="D123" s="12" t="s">
        <v>26</v>
      </c>
    </row>
    <row r="124" spans="1:4" x14ac:dyDescent="0.25">
      <c r="A124" s="8" t="s">
        <v>2</v>
      </c>
      <c r="B124" s="13" t="s">
        <v>91</v>
      </c>
      <c r="C124" s="13"/>
      <c r="D124" s="14">
        <v>181.23</v>
      </c>
    </row>
    <row r="125" spans="1:4" x14ac:dyDescent="0.25">
      <c r="A125" s="8" t="s">
        <v>4</v>
      </c>
      <c r="B125" s="13" t="s">
        <v>92</v>
      </c>
      <c r="C125" s="13"/>
      <c r="D125" s="14">
        <v>61.36</v>
      </c>
    </row>
    <row r="126" spans="1:4" x14ac:dyDescent="0.25">
      <c r="A126" s="8" t="s">
        <v>6</v>
      </c>
      <c r="B126" s="13" t="s">
        <v>93</v>
      </c>
      <c r="C126" s="13"/>
      <c r="D126" s="14">
        <v>40.22</v>
      </c>
    </row>
    <row r="127" spans="1:4" x14ac:dyDescent="0.25">
      <c r="A127" s="8" t="s">
        <v>8</v>
      </c>
      <c r="B127" s="13" t="s">
        <v>34</v>
      </c>
      <c r="C127" s="13"/>
      <c r="D127" s="14"/>
    </row>
    <row r="128" spans="1:4" ht="12.75" customHeight="1" x14ac:dyDescent="0.25">
      <c r="A128" s="110" t="s">
        <v>56</v>
      </c>
      <c r="B128" s="110"/>
      <c r="C128" s="110"/>
      <c r="D128" s="15">
        <f>SUM(D124:D127)</f>
        <v>282.80999999999995</v>
      </c>
    </row>
    <row r="131" spans="1:4" x14ac:dyDescent="0.25">
      <c r="A131" s="105" t="s">
        <v>94</v>
      </c>
      <c r="B131" s="105"/>
      <c r="C131" s="105"/>
      <c r="D131" s="105"/>
    </row>
    <row r="133" spans="1:4" x14ac:dyDescent="0.25">
      <c r="A133" s="12">
        <v>6</v>
      </c>
      <c r="B133" s="28" t="s">
        <v>95</v>
      </c>
      <c r="C133" s="12" t="s">
        <v>45</v>
      </c>
      <c r="D133" s="12" t="s">
        <v>26</v>
      </c>
    </row>
    <row r="134" spans="1:4" x14ac:dyDescent="0.25">
      <c r="A134" s="8" t="s">
        <v>2</v>
      </c>
      <c r="B134" s="13" t="s">
        <v>96</v>
      </c>
      <c r="C134" s="20">
        <v>0.05</v>
      </c>
      <c r="D134" s="23">
        <f>D154*C134</f>
        <v>276.52268000000004</v>
      </c>
    </row>
    <row r="135" spans="1:4" x14ac:dyDescent="0.25">
      <c r="A135" s="8" t="s">
        <v>4</v>
      </c>
      <c r="B135" s="13" t="s">
        <v>97</v>
      </c>
      <c r="C135" s="20">
        <v>0.06</v>
      </c>
      <c r="D135" s="14">
        <f>(D154+D134)*C135</f>
        <v>348.41857680000004</v>
      </c>
    </row>
    <row r="136" spans="1:4" x14ac:dyDescent="0.25">
      <c r="A136" s="8" t="s">
        <v>6</v>
      </c>
      <c r="B136" s="13" t="s">
        <v>98</v>
      </c>
      <c r="C136" s="17">
        <f>SUM(C137:C142)</f>
        <v>8.6499999999999994E-2</v>
      </c>
      <c r="D136" s="14">
        <f>(D154+D134+D135)*C136/(1-C136)</f>
        <v>582.85895469425293</v>
      </c>
    </row>
    <row r="137" spans="1:4" x14ac:dyDescent="0.25">
      <c r="A137" s="8"/>
      <c r="B137" s="13" t="s">
        <v>99</v>
      </c>
      <c r="C137" s="20"/>
      <c r="D137" s="23">
        <f t="shared" ref="D137:D142" si="2">$D$156*C137</f>
        <v>0</v>
      </c>
    </row>
    <row r="138" spans="1:4" x14ac:dyDescent="0.25">
      <c r="A138" s="8"/>
      <c r="B138" s="13" t="s">
        <v>100</v>
      </c>
      <c r="C138" s="20">
        <v>6.4999999999999997E-3</v>
      </c>
      <c r="D138" s="23">
        <f t="shared" si="2"/>
        <v>43.798649774712644</v>
      </c>
    </row>
    <row r="139" spans="1:4" x14ac:dyDescent="0.25">
      <c r="A139" s="8"/>
      <c r="B139" s="13" t="s">
        <v>101</v>
      </c>
      <c r="C139" s="20">
        <v>0.03</v>
      </c>
      <c r="D139" s="23">
        <f t="shared" si="2"/>
        <v>202.14761434482759</v>
      </c>
    </row>
    <row r="140" spans="1:4" x14ac:dyDescent="0.25">
      <c r="A140" s="8"/>
      <c r="B140" s="13" t="s">
        <v>102</v>
      </c>
      <c r="C140" s="65"/>
      <c r="D140" s="23">
        <f t="shared" si="2"/>
        <v>0</v>
      </c>
    </row>
    <row r="141" spans="1:4" x14ac:dyDescent="0.25">
      <c r="A141" s="8"/>
      <c r="B141" s="13" t="s">
        <v>103</v>
      </c>
      <c r="C141" s="20"/>
      <c r="D141" s="23">
        <f t="shared" si="2"/>
        <v>0</v>
      </c>
    </row>
    <row r="142" spans="1:4" x14ac:dyDescent="0.25">
      <c r="A142" s="8"/>
      <c r="B142" s="13" t="s">
        <v>104</v>
      </c>
      <c r="C142" s="20">
        <v>0.05</v>
      </c>
      <c r="D142" s="23">
        <f t="shared" si="2"/>
        <v>336.91269057471271</v>
      </c>
    </row>
    <row r="143" spans="1:4" ht="13.5" customHeight="1" x14ac:dyDescent="0.25">
      <c r="A143" s="116" t="s">
        <v>56</v>
      </c>
      <c r="B143" s="116"/>
      <c r="C143" s="29">
        <f>ROUND((1+C135)*(1+C134)/(1-C136)-1,4)</f>
        <v>0.21840000000000001</v>
      </c>
      <c r="D143" s="19">
        <f>SUM(D134:D136)</f>
        <v>1207.8002114942528</v>
      </c>
    </row>
    <row r="146" spans="1:4" x14ac:dyDescent="0.25">
      <c r="A146" s="105" t="s">
        <v>105</v>
      </c>
      <c r="B146" s="105"/>
      <c r="C146" s="105"/>
      <c r="D146" s="105"/>
    </row>
    <row r="148" spans="1:4" ht="12.75" customHeight="1" x14ac:dyDescent="0.25">
      <c r="A148" s="12"/>
      <c r="B148" s="110" t="s">
        <v>106</v>
      </c>
      <c r="C148" s="110"/>
      <c r="D148" s="12" t="s">
        <v>26</v>
      </c>
    </row>
    <row r="149" spans="1:4" ht="12.75" customHeight="1" x14ac:dyDescent="0.25">
      <c r="A149" s="12" t="s">
        <v>2</v>
      </c>
      <c r="B149" s="111" t="s">
        <v>24</v>
      </c>
      <c r="C149" s="111"/>
      <c r="D149" s="30">
        <f>D33</f>
        <v>2714.2569999999996</v>
      </c>
    </row>
    <row r="150" spans="1:4" ht="12.75" customHeight="1" x14ac:dyDescent="0.25">
      <c r="A150" s="12" t="s">
        <v>4</v>
      </c>
      <c r="B150" s="111" t="s">
        <v>36</v>
      </c>
      <c r="C150" s="111"/>
      <c r="D150" s="30">
        <f>D76</f>
        <v>2266.8366000000001</v>
      </c>
    </row>
    <row r="151" spans="1:4" ht="12.75" customHeight="1" x14ac:dyDescent="0.25">
      <c r="A151" s="12" t="s">
        <v>6</v>
      </c>
      <c r="B151" s="111" t="s">
        <v>65</v>
      </c>
      <c r="C151" s="111"/>
      <c r="D151" s="30">
        <f>D88</f>
        <v>167.16000000000003</v>
      </c>
    </row>
    <row r="152" spans="1:4" ht="12.75" customHeight="1" x14ac:dyDescent="0.25">
      <c r="A152" s="12" t="s">
        <v>8</v>
      </c>
      <c r="B152" s="111" t="s">
        <v>73</v>
      </c>
      <c r="C152" s="111"/>
      <c r="D152" s="30">
        <f>D118</f>
        <v>99.39</v>
      </c>
    </row>
    <row r="153" spans="1:4" ht="12.75" customHeight="1" x14ac:dyDescent="0.25">
      <c r="A153" s="12" t="s">
        <v>31</v>
      </c>
      <c r="B153" s="111" t="s">
        <v>89</v>
      </c>
      <c r="C153" s="111"/>
      <c r="D153" s="30">
        <f>D128</f>
        <v>282.80999999999995</v>
      </c>
    </row>
    <row r="154" spans="1:4" ht="12.75" customHeight="1" x14ac:dyDescent="0.25">
      <c r="A154" s="110" t="s">
        <v>107</v>
      </c>
      <c r="B154" s="110"/>
      <c r="C154" s="110"/>
      <c r="D154" s="31">
        <f>SUM(D149:D153)</f>
        <v>5530.4536000000007</v>
      </c>
    </row>
    <row r="155" spans="1:4" ht="12.75" customHeight="1" x14ac:dyDescent="0.25">
      <c r="A155" s="12" t="s">
        <v>51</v>
      </c>
      <c r="B155" s="111" t="s">
        <v>108</v>
      </c>
      <c r="C155" s="111"/>
      <c r="D155" s="32">
        <f>D143</f>
        <v>1207.8002114942528</v>
      </c>
    </row>
    <row r="156" spans="1:4" ht="12.75" customHeight="1" x14ac:dyDescent="0.25">
      <c r="A156" s="110" t="s">
        <v>109</v>
      </c>
      <c r="B156" s="110"/>
      <c r="C156" s="110"/>
      <c r="D156" s="31">
        <f>SUM(D154:D155)</f>
        <v>6738.2538114942536</v>
      </c>
    </row>
  </sheetData>
  <mergeCells count="71">
    <mergeCell ref="A156:C156"/>
    <mergeCell ref="B151:C151"/>
    <mergeCell ref="B152:C152"/>
    <mergeCell ref="B153:C153"/>
    <mergeCell ref="A154:C154"/>
    <mergeCell ref="B155:C155"/>
    <mergeCell ref="A143:B143"/>
    <mergeCell ref="A146:D146"/>
    <mergeCell ref="B148:C148"/>
    <mergeCell ref="B149:C149"/>
    <mergeCell ref="B150:C150"/>
    <mergeCell ref="A118:C118"/>
    <mergeCell ref="A121:D121"/>
    <mergeCell ref="B123:C123"/>
    <mergeCell ref="A128:C128"/>
    <mergeCell ref="A131:D131"/>
    <mergeCell ref="A110:C110"/>
    <mergeCell ref="A113:D113"/>
    <mergeCell ref="B115:C115"/>
    <mergeCell ref="B116:C116"/>
    <mergeCell ref="B117:C117"/>
    <mergeCell ref="B96:C96"/>
    <mergeCell ref="A103:C103"/>
    <mergeCell ref="A106:D106"/>
    <mergeCell ref="B108:C108"/>
    <mergeCell ref="B109:C109"/>
    <mergeCell ref="A79:D79"/>
    <mergeCell ref="B81:C81"/>
    <mergeCell ref="A88:C88"/>
    <mergeCell ref="A91:D91"/>
    <mergeCell ref="A94:D94"/>
    <mergeCell ref="B72:C72"/>
    <mergeCell ref="B73:C73"/>
    <mergeCell ref="B74:C74"/>
    <mergeCell ref="B75:C75"/>
    <mergeCell ref="A76:C76"/>
    <mergeCell ref="B64:C64"/>
    <mergeCell ref="B65:C65"/>
    <mergeCell ref="B66:C66"/>
    <mergeCell ref="A67:C67"/>
    <mergeCell ref="A70:D70"/>
    <mergeCell ref="A46:D46"/>
    <mergeCell ref="A57:B57"/>
    <mergeCell ref="A60:D60"/>
    <mergeCell ref="B62:C62"/>
    <mergeCell ref="B63:C63"/>
    <mergeCell ref="A33:C33"/>
    <mergeCell ref="A36:D36"/>
    <mergeCell ref="A38:D38"/>
    <mergeCell ref="B40:C40"/>
    <mergeCell ref="A43:B43"/>
    <mergeCell ref="B28:C28"/>
    <mergeCell ref="B29:C29"/>
    <mergeCell ref="B30:C30"/>
    <mergeCell ref="B31:C31"/>
    <mergeCell ref="B32:C32"/>
    <mergeCell ref="C21:D21"/>
    <mergeCell ref="A23:D23"/>
    <mergeCell ref="B25:C25"/>
    <mergeCell ref="B26:C26"/>
    <mergeCell ref="B27:C27"/>
    <mergeCell ref="A15:D15"/>
    <mergeCell ref="C17:D17"/>
    <mergeCell ref="C18:D18"/>
    <mergeCell ref="C19:D19"/>
    <mergeCell ref="C20:D20"/>
    <mergeCell ref="A1:D1"/>
    <mergeCell ref="A3:D3"/>
    <mergeCell ref="A10:D10"/>
    <mergeCell ref="A12:B12"/>
    <mergeCell ref="A13:B13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6"/>
  <sheetViews>
    <sheetView topLeftCell="A106" zoomScale="115" zoomScaleNormal="115" workbookViewId="0">
      <selection activeCell="D116" sqref="D116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104" t="s">
        <v>0</v>
      </c>
      <c r="B1" s="104"/>
      <c r="C1" s="104"/>
      <c r="D1" s="104"/>
    </row>
    <row r="2" spans="1:4" ht="15.75" x14ac:dyDescent="0.25">
      <c r="A2" s="2"/>
      <c r="B2" s="2"/>
      <c r="C2" s="2"/>
      <c r="D2" s="2"/>
    </row>
    <row r="3" spans="1:4" x14ac:dyDescent="0.25">
      <c r="A3" s="105" t="s">
        <v>1</v>
      </c>
      <c r="B3" s="105"/>
      <c r="C3" s="105"/>
      <c r="D3" s="105"/>
    </row>
    <row r="4" spans="1:4" x14ac:dyDescent="0.25">
      <c r="A4" s="3"/>
      <c r="B4" s="3"/>
      <c r="C4" s="3"/>
      <c r="D4" s="3"/>
    </row>
    <row r="5" spans="1:4" x14ac:dyDescent="0.25">
      <c r="A5" s="4" t="s">
        <v>2</v>
      </c>
      <c r="B5" s="5" t="s">
        <v>3</v>
      </c>
      <c r="C5" s="6"/>
      <c r="D5" s="7"/>
    </row>
    <row r="6" spans="1:4" x14ac:dyDescent="0.25">
      <c r="A6" s="4" t="s">
        <v>4</v>
      </c>
      <c r="B6" s="5" t="s">
        <v>5</v>
      </c>
      <c r="C6" s="6"/>
      <c r="D6" s="7"/>
    </row>
    <row r="7" spans="1:4" x14ac:dyDescent="0.25">
      <c r="A7" s="4" t="s">
        <v>6</v>
      </c>
      <c r="B7" s="5" t="s">
        <v>7</v>
      </c>
      <c r="C7" s="6"/>
      <c r="D7" s="7"/>
    </row>
    <row r="8" spans="1:4" x14ac:dyDescent="0.25">
      <c r="A8" s="4" t="s">
        <v>8</v>
      </c>
      <c r="B8" s="5" t="s">
        <v>9</v>
      </c>
      <c r="C8" s="6"/>
      <c r="D8" s="7">
        <v>24</v>
      </c>
    </row>
    <row r="10" spans="1:4" x14ac:dyDescent="0.25">
      <c r="A10" s="105" t="s">
        <v>10</v>
      </c>
      <c r="B10" s="105"/>
      <c r="C10" s="105"/>
      <c r="D10" s="105"/>
    </row>
    <row r="11" spans="1:4" x14ac:dyDescent="0.25">
      <c r="A11" s="3"/>
      <c r="B11" s="3"/>
      <c r="C11" s="3"/>
      <c r="D11" s="3"/>
    </row>
    <row r="12" spans="1:4" ht="38.25" customHeight="1" x14ac:dyDescent="0.25">
      <c r="A12" s="106" t="s">
        <v>11</v>
      </c>
      <c r="B12" s="106"/>
      <c r="C12" s="8" t="s">
        <v>12</v>
      </c>
      <c r="D12" s="9" t="s">
        <v>13</v>
      </c>
    </row>
    <row r="13" spans="1:4" s="11" customFormat="1" ht="12.75" x14ac:dyDescent="0.2">
      <c r="A13" s="107" t="s">
        <v>124</v>
      </c>
      <c r="B13" s="107"/>
      <c r="C13" s="10" t="s">
        <v>15</v>
      </c>
      <c r="D13" s="10">
        <v>2</v>
      </c>
    </row>
    <row r="15" spans="1:4" x14ac:dyDescent="0.25">
      <c r="A15" s="105" t="s">
        <v>16</v>
      </c>
      <c r="B15" s="105"/>
      <c r="C15" s="105"/>
      <c r="D15" s="105"/>
    </row>
    <row r="16" spans="1:4" x14ac:dyDescent="0.25">
      <c r="A16" s="3"/>
      <c r="B16" s="3"/>
      <c r="C16" s="3"/>
      <c r="D16" s="3"/>
    </row>
    <row r="17" spans="1:4" x14ac:dyDescent="0.25">
      <c r="A17" s="4">
        <v>1</v>
      </c>
      <c r="B17" s="4" t="s">
        <v>17</v>
      </c>
      <c r="C17" s="108" t="s">
        <v>125</v>
      </c>
      <c r="D17" s="108"/>
    </row>
    <row r="18" spans="1:4" x14ac:dyDescent="0.25">
      <c r="A18" s="4">
        <v>2</v>
      </c>
      <c r="B18" s="4" t="s">
        <v>19</v>
      </c>
      <c r="C18" s="108" t="s">
        <v>126</v>
      </c>
      <c r="D18" s="108"/>
    </row>
    <row r="19" spans="1:4" x14ac:dyDescent="0.25">
      <c r="A19" s="4">
        <v>3</v>
      </c>
      <c r="B19" s="4" t="s">
        <v>21</v>
      </c>
      <c r="C19" s="108">
        <v>2229.58</v>
      </c>
      <c r="D19" s="108"/>
    </row>
    <row r="20" spans="1:4" x14ac:dyDescent="0.25">
      <c r="A20" s="4">
        <v>4</v>
      </c>
      <c r="B20" s="4" t="s">
        <v>22</v>
      </c>
      <c r="C20" s="108" t="s">
        <v>196</v>
      </c>
      <c r="D20" s="108"/>
    </row>
    <row r="21" spans="1:4" x14ac:dyDescent="0.25">
      <c r="A21" s="4">
        <v>5</v>
      </c>
      <c r="B21" s="4" t="s">
        <v>23</v>
      </c>
      <c r="C21" s="108"/>
      <c r="D21" s="108"/>
    </row>
    <row r="23" spans="1:4" x14ac:dyDescent="0.25">
      <c r="A23" s="105" t="s">
        <v>24</v>
      </c>
      <c r="B23" s="105"/>
      <c r="C23" s="105"/>
      <c r="D23" s="105"/>
    </row>
    <row r="25" spans="1:4" ht="12.75" customHeight="1" x14ac:dyDescent="0.25">
      <c r="A25" s="12">
        <v>1</v>
      </c>
      <c r="B25" s="110" t="s">
        <v>25</v>
      </c>
      <c r="C25" s="110"/>
      <c r="D25" s="12" t="s">
        <v>26</v>
      </c>
    </row>
    <row r="26" spans="1:4" ht="12.75" customHeight="1" x14ac:dyDescent="0.25">
      <c r="A26" s="8" t="s">
        <v>2</v>
      </c>
      <c r="B26" s="111" t="s">
        <v>27</v>
      </c>
      <c r="C26" s="111"/>
      <c r="D26" s="14">
        <v>2229.58</v>
      </c>
    </row>
    <row r="27" spans="1:4" ht="12.75" customHeight="1" x14ac:dyDescent="0.25">
      <c r="A27" s="8" t="s">
        <v>4</v>
      </c>
      <c r="B27" s="111" t="s">
        <v>28</v>
      </c>
      <c r="C27" s="111"/>
      <c r="D27" s="14"/>
    </row>
    <row r="28" spans="1:4" ht="12.75" customHeight="1" x14ac:dyDescent="0.25">
      <c r="A28" s="8" t="s">
        <v>6</v>
      </c>
      <c r="B28" s="111" t="s">
        <v>29</v>
      </c>
      <c r="C28" s="111"/>
      <c r="D28" s="14">
        <f>D26*0.2</f>
        <v>445.916</v>
      </c>
    </row>
    <row r="29" spans="1:4" ht="12.75" customHeight="1" x14ac:dyDescent="0.25">
      <c r="A29" s="8" t="s">
        <v>8</v>
      </c>
      <c r="B29" s="111" t="s">
        <v>30</v>
      </c>
      <c r="C29" s="111"/>
      <c r="D29" s="14"/>
    </row>
    <row r="30" spans="1:4" ht="12.75" customHeight="1" x14ac:dyDescent="0.25">
      <c r="A30" s="8" t="s">
        <v>31</v>
      </c>
      <c r="B30" s="111" t="s">
        <v>32</v>
      </c>
      <c r="C30" s="111"/>
      <c r="D30" s="14"/>
    </row>
    <row r="31" spans="1:4" x14ac:dyDescent="0.25">
      <c r="A31" s="8"/>
      <c r="B31" s="111"/>
      <c r="C31" s="111"/>
      <c r="D31" s="14"/>
    </row>
    <row r="32" spans="1:4" ht="12.75" customHeight="1" x14ac:dyDescent="0.25">
      <c r="A32" s="8" t="s">
        <v>33</v>
      </c>
      <c r="B32" s="111" t="s">
        <v>34</v>
      </c>
      <c r="C32" s="111"/>
      <c r="D32" s="14"/>
    </row>
    <row r="33" spans="1:4" ht="12.75" customHeight="1" x14ac:dyDescent="0.25">
      <c r="A33" s="110" t="s">
        <v>35</v>
      </c>
      <c r="B33" s="110"/>
      <c r="C33" s="110"/>
      <c r="D33" s="15">
        <f>SUM(D26:D32)</f>
        <v>2675.4960000000001</v>
      </c>
    </row>
    <row r="36" spans="1:4" x14ac:dyDescent="0.25">
      <c r="A36" s="105" t="s">
        <v>36</v>
      </c>
      <c r="B36" s="105"/>
      <c r="C36" s="105"/>
      <c r="D36" s="105"/>
    </row>
    <row r="37" spans="1:4" x14ac:dyDescent="0.25">
      <c r="A37" s="16"/>
    </row>
    <row r="38" spans="1:4" x14ac:dyDescent="0.25">
      <c r="A38" s="112" t="s">
        <v>37</v>
      </c>
      <c r="B38" s="112"/>
      <c r="C38" s="112"/>
      <c r="D38" s="112"/>
    </row>
    <row r="40" spans="1:4" ht="12.75" customHeight="1" x14ac:dyDescent="0.25">
      <c r="A40" s="12" t="s">
        <v>38</v>
      </c>
      <c r="B40" s="110" t="s">
        <v>39</v>
      </c>
      <c r="C40" s="110"/>
      <c r="D40" s="12" t="s">
        <v>26</v>
      </c>
    </row>
    <row r="41" spans="1:4" x14ac:dyDescent="0.25">
      <c r="A41" s="8" t="s">
        <v>2</v>
      </c>
      <c r="B41" s="13" t="s">
        <v>40</v>
      </c>
      <c r="C41" s="17">
        <f>TRUNC(1/12,4)</f>
        <v>8.3299999999999999E-2</v>
      </c>
      <c r="D41" s="14">
        <f>TRUNC($D$33*C41,2)</f>
        <v>222.86</v>
      </c>
    </row>
    <row r="42" spans="1:4" x14ac:dyDescent="0.25">
      <c r="A42" s="8" t="s">
        <v>4</v>
      </c>
      <c r="B42" s="13" t="s">
        <v>41</v>
      </c>
      <c r="C42" s="17">
        <f>TRUNC(((1+1/3)/12),4)</f>
        <v>0.1111</v>
      </c>
      <c r="D42" s="14">
        <f>TRUNC($D$33*C42,2)</f>
        <v>297.24</v>
      </c>
    </row>
    <row r="43" spans="1:4" ht="12.75" customHeight="1" x14ac:dyDescent="0.25">
      <c r="A43" s="110" t="s">
        <v>35</v>
      </c>
      <c r="B43" s="110"/>
      <c r="C43" s="18">
        <f>SUM(C41:C42)</f>
        <v>0.19440000000000002</v>
      </c>
      <c r="D43" s="19">
        <f>SUM(D41:D42)</f>
        <v>520.1</v>
      </c>
    </row>
    <row r="46" spans="1:4" ht="12.75" customHeight="1" x14ac:dyDescent="0.25">
      <c r="A46" s="113" t="s">
        <v>42</v>
      </c>
      <c r="B46" s="113"/>
      <c r="C46" s="113"/>
      <c r="D46" s="113"/>
    </row>
    <row r="48" spans="1:4" x14ac:dyDescent="0.25">
      <c r="A48" s="12" t="s">
        <v>43</v>
      </c>
      <c r="B48" s="12" t="s">
        <v>44</v>
      </c>
      <c r="C48" s="12" t="s">
        <v>45</v>
      </c>
      <c r="D48" s="12" t="s">
        <v>26</v>
      </c>
    </row>
    <row r="49" spans="1:4" x14ac:dyDescent="0.25">
      <c r="A49" s="8" t="s">
        <v>2</v>
      </c>
      <c r="B49" s="13" t="s">
        <v>46</v>
      </c>
      <c r="C49" s="20">
        <v>0.2</v>
      </c>
      <c r="D49" s="14">
        <f t="shared" ref="D49:D56" si="0">TRUNC(($D$33+$D$43)*C49,2)</f>
        <v>639.11</v>
      </c>
    </row>
    <row r="50" spans="1:4" x14ac:dyDescent="0.25">
      <c r="A50" s="8" t="s">
        <v>4</v>
      </c>
      <c r="B50" s="13" t="s">
        <v>47</v>
      </c>
      <c r="C50" s="20">
        <v>2.5000000000000001E-2</v>
      </c>
      <c r="D50" s="14">
        <f t="shared" si="0"/>
        <v>79.88</v>
      </c>
    </row>
    <row r="51" spans="1:4" x14ac:dyDescent="0.25">
      <c r="A51" s="8" t="s">
        <v>6</v>
      </c>
      <c r="B51" s="13" t="s">
        <v>48</v>
      </c>
      <c r="C51" s="21">
        <v>0.03</v>
      </c>
      <c r="D51" s="14">
        <f t="shared" si="0"/>
        <v>95.86</v>
      </c>
    </row>
    <row r="52" spans="1:4" x14ac:dyDescent="0.25">
      <c r="A52" s="8" t="s">
        <v>8</v>
      </c>
      <c r="B52" s="13" t="s">
        <v>49</v>
      </c>
      <c r="C52" s="20">
        <v>1.4999999999999999E-2</v>
      </c>
      <c r="D52" s="14">
        <f t="shared" si="0"/>
        <v>47.93</v>
      </c>
    </row>
    <row r="53" spans="1:4" x14ac:dyDescent="0.25">
      <c r="A53" s="8" t="s">
        <v>31</v>
      </c>
      <c r="B53" s="13" t="s">
        <v>50</v>
      </c>
      <c r="C53" s="20">
        <v>0.01</v>
      </c>
      <c r="D53" s="14">
        <f t="shared" si="0"/>
        <v>31.95</v>
      </c>
    </row>
    <row r="54" spans="1:4" x14ac:dyDescent="0.25">
      <c r="A54" s="8" t="s">
        <v>51</v>
      </c>
      <c r="B54" s="13" t="s">
        <v>52</v>
      </c>
      <c r="C54" s="20">
        <v>6.0000000000000001E-3</v>
      </c>
      <c r="D54" s="14">
        <f t="shared" si="0"/>
        <v>19.170000000000002</v>
      </c>
    </row>
    <row r="55" spans="1:4" x14ac:dyDescent="0.25">
      <c r="A55" s="8" t="s">
        <v>33</v>
      </c>
      <c r="B55" s="13" t="s">
        <v>53</v>
      </c>
      <c r="C55" s="20">
        <v>2E-3</v>
      </c>
      <c r="D55" s="14">
        <f t="shared" si="0"/>
        <v>6.39</v>
      </c>
    </row>
    <row r="56" spans="1:4" x14ac:dyDescent="0.25">
      <c r="A56" s="8" t="s">
        <v>54</v>
      </c>
      <c r="B56" s="13" t="s">
        <v>55</v>
      </c>
      <c r="C56" s="20">
        <v>0.08</v>
      </c>
      <c r="D56" s="14">
        <f t="shared" si="0"/>
        <v>255.64</v>
      </c>
    </row>
    <row r="57" spans="1:4" ht="12.75" customHeight="1" x14ac:dyDescent="0.25">
      <c r="A57" s="110" t="s">
        <v>56</v>
      </c>
      <c r="B57" s="110"/>
      <c r="C57" s="22">
        <f>SUM(C49:C56)</f>
        <v>0.36800000000000005</v>
      </c>
      <c r="D57" s="19">
        <f>SUM(D49:D56)</f>
        <v>1175.9299999999998</v>
      </c>
    </row>
    <row r="60" spans="1:4" x14ac:dyDescent="0.25">
      <c r="A60" s="112" t="s">
        <v>57</v>
      </c>
      <c r="B60" s="112"/>
      <c r="C60" s="112"/>
      <c r="D60" s="112"/>
    </row>
    <row r="62" spans="1:4" ht="12.75" customHeight="1" x14ac:dyDescent="0.25">
      <c r="A62" s="12" t="s">
        <v>58</v>
      </c>
      <c r="B62" s="114" t="s">
        <v>59</v>
      </c>
      <c r="C62" s="114"/>
      <c r="D62" s="12" t="s">
        <v>26</v>
      </c>
    </row>
    <row r="63" spans="1:4" ht="12.75" customHeight="1" x14ac:dyDescent="0.25">
      <c r="A63" s="8" t="s">
        <v>2</v>
      </c>
      <c r="B63" s="111" t="s">
        <v>60</v>
      </c>
      <c r="C63" s="111"/>
      <c r="D63" s="14">
        <f>IF((26*2*4.9)&gt;(D26*0.06),(26*2*4.9)-(D26*0.06),0)</f>
        <v>121.02520000000001</v>
      </c>
    </row>
    <row r="64" spans="1:4" ht="12.75" customHeight="1" x14ac:dyDescent="0.25">
      <c r="A64" s="8" t="s">
        <v>4</v>
      </c>
      <c r="B64" s="111" t="s">
        <v>61</v>
      </c>
      <c r="C64" s="111"/>
      <c r="D64" s="14">
        <f>22*20.49*0.95</f>
        <v>428.24099999999993</v>
      </c>
    </row>
    <row r="65" spans="1:5" ht="12.75" customHeight="1" x14ac:dyDescent="0.25">
      <c r="A65" s="8" t="s">
        <v>6</v>
      </c>
      <c r="B65" s="111" t="s">
        <v>62</v>
      </c>
      <c r="C65" s="111"/>
      <c r="D65" s="14"/>
    </row>
    <row r="66" spans="1:5" ht="12.75" customHeight="1" x14ac:dyDescent="0.25">
      <c r="A66" s="8" t="s">
        <v>8</v>
      </c>
      <c r="B66" s="111" t="s">
        <v>34</v>
      </c>
      <c r="C66" s="111"/>
      <c r="D66" s="14"/>
    </row>
    <row r="67" spans="1:5" ht="12.75" customHeight="1" x14ac:dyDescent="0.25">
      <c r="A67" s="110" t="s">
        <v>35</v>
      </c>
      <c r="B67" s="110"/>
      <c r="C67" s="110"/>
      <c r="D67" s="19">
        <f>SUM(D63:D66)</f>
        <v>549.26619999999991</v>
      </c>
    </row>
    <row r="70" spans="1:5" x14ac:dyDescent="0.25">
      <c r="A70" s="112" t="s">
        <v>63</v>
      </c>
      <c r="B70" s="112"/>
      <c r="C70" s="112"/>
      <c r="D70" s="112"/>
    </row>
    <row r="72" spans="1:5" ht="12.75" customHeight="1" x14ac:dyDescent="0.25">
      <c r="A72" s="12">
        <v>2</v>
      </c>
      <c r="B72" s="114" t="s">
        <v>64</v>
      </c>
      <c r="C72" s="114"/>
      <c r="D72" s="12" t="s">
        <v>26</v>
      </c>
    </row>
    <row r="73" spans="1:5" ht="12.75" customHeight="1" x14ac:dyDescent="0.25">
      <c r="A73" s="8" t="s">
        <v>38</v>
      </c>
      <c r="B73" s="111" t="s">
        <v>39</v>
      </c>
      <c r="C73" s="111"/>
      <c r="D73" s="23">
        <f>D43</f>
        <v>520.1</v>
      </c>
    </row>
    <row r="74" spans="1:5" ht="12.75" customHeight="1" x14ac:dyDescent="0.25">
      <c r="A74" s="8" t="s">
        <v>43</v>
      </c>
      <c r="B74" s="111" t="s">
        <v>44</v>
      </c>
      <c r="C74" s="111"/>
      <c r="D74" s="23">
        <f>D57</f>
        <v>1175.9299999999998</v>
      </c>
    </row>
    <row r="75" spans="1:5" ht="12.75" customHeight="1" x14ac:dyDescent="0.25">
      <c r="A75" s="8" t="s">
        <v>58</v>
      </c>
      <c r="B75" s="111" t="s">
        <v>59</v>
      </c>
      <c r="C75" s="111"/>
      <c r="D75" s="23">
        <f>D67</f>
        <v>549.26619999999991</v>
      </c>
    </row>
    <row r="76" spans="1:5" ht="12.75" customHeight="1" x14ac:dyDescent="0.25">
      <c r="A76" s="110" t="s">
        <v>35</v>
      </c>
      <c r="B76" s="110"/>
      <c r="C76" s="110"/>
      <c r="D76" s="19">
        <f>SUM(D73:D75)</f>
        <v>2245.2961999999998</v>
      </c>
    </row>
    <row r="77" spans="1:5" x14ac:dyDescent="0.25">
      <c r="A77" s="24"/>
      <c r="E77" s="25"/>
    </row>
    <row r="79" spans="1:5" x14ac:dyDescent="0.25">
      <c r="A79" s="105" t="s">
        <v>65</v>
      </c>
      <c r="B79" s="105"/>
      <c r="C79" s="105"/>
      <c r="D79" s="105"/>
      <c r="E79" s="26"/>
    </row>
    <row r="80" spans="1:5" ht="12.75" customHeight="1" x14ac:dyDescent="0.25">
      <c r="E80" s="25"/>
    </row>
    <row r="81" spans="1:4" ht="12.75" customHeight="1" x14ac:dyDescent="0.25">
      <c r="A81" s="12">
        <v>3</v>
      </c>
      <c r="B81" s="114" t="s">
        <v>66</v>
      </c>
      <c r="C81" s="114"/>
      <c r="D81" s="12" t="s">
        <v>26</v>
      </c>
    </row>
    <row r="82" spans="1:4" x14ac:dyDescent="0.25">
      <c r="A82" s="8" t="s">
        <v>2</v>
      </c>
      <c r="B82" s="27" t="s">
        <v>67</v>
      </c>
      <c r="C82" s="20">
        <f>TRUNC(((1/12)*5%),4)</f>
        <v>4.1000000000000003E-3</v>
      </c>
      <c r="D82" s="14">
        <f>TRUNC($D$33*C82,2)</f>
        <v>10.96</v>
      </c>
    </row>
    <row r="83" spans="1:4" x14ac:dyDescent="0.25">
      <c r="A83" s="8" t="s">
        <v>4</v>
      </c>
      <c r="B83" s="27" t="s">
        <v>68</v>
      </c>
      <c r="C83" s="20">
        <v>0.08</v>
      </c>
      <c r="D83" s="14">
        <f>TRUNC(D82*C83,2)</f>
        <v>0.87</v>
      </c>
    </row>
    <row r="84" spans="1:4" x14ac:dyDescent="0.25">
      <c r="A84" s="8" t="s">
        <v>6</v>
      </c>
      <c r="B84" s="27" t="s">
        <v>69</v>
      </c>
      <c r="C84" s="20">
        <f>TRUNC(8%*5%*40%,4)</f>
        <v>1.6000000000000001E-3</v>
      </c>
      <c r="D84" s="14">
        <f>TRUNC($D$33*C84,2)</f>
        <v>4.28</v>
      </c>
    </row>
    <row r="85" spans="1:4" x14ac:dyDescent="0.25">
      <c r="A85" s="8" t="s">
        <v>8</v>
      </c>
      <c r="B85" s="27" t="s">
        <v>70</v>
      </c>
      <c r="C85" s="20">
        <f>TRUNC(((7/30)/12)*95%,4)</f>
        <v>1.84E-2</v>
      </c>
      <c r="D85" s="14">
        <f>TRUNC($D$33*C85,2)</f>
        <v>49.22</v>
      </c>
    </row>
    <row r="86" spans="1:4" ht="25.5" x14ac:dyDescent="0.25">
      <c r="A86" s="8" t="s">
        <v>31</v>
      </c>
      <c r="B86" s="27" t="s">
        <v>71</v>
      </c>
      <c r="C86" s="20">
        <f>C57</f>
        <v>0.36800000000000005</v>
      </c>
      <c r="D86" s="14">
        <f>TRUNC(D85*C86,2)</f>
        <v>18.11</v>
      </c>
    </row>
    <row r="87" spans="1:4" x14ac:dyDescent="0.25">
      <c r="A87" s="8" t="s">
        <v>51</v>
      </c>
      <c r="B87" s="27" t="s">
        <v>72</v>
      </c>
      <c r="C87" s="20">
        <f>TRUNC(8%*95%*40%,4)</f>
        <v>3.04E-2</v>
      </c>
      <c r="D87" s="14">
        <f>TRUNC($D$33*C87,2)</f>
        <v>81.33</v>
      </c>
    </row>
    <row r="88" spans="1:4" ht="12.75" customHeight="1" x14ac:dyDescent="0.25">
      <c r="A88" s="110" t="s">
        <v>35</v>
      </c>
      <c r="B88" s="110"/>
      <c r="C88" s="110"/>
      <c r="D88" s="19">
        <f>SUM(D82:D87)</f>
        <v>164.76999999999998</v>
      </c>
    </row>
    <row r="91" spans="1:4" x14ac:dyDescent="0.25">
      <c r="A91" s="105" t="s">
        <v>73</v>
      </c>
      <c r="B91" s="105"/>
      <c r="C91" s="105"/>
      <c r="D91" s="105"/>
    </row>
    <row r="94" spans="1:4" x14ac:dyDescent="0.25">
      <c r="A94" s="112" t="s">
        <v>74</v>
      </c>
      <c r="B94" s="112"/>
      <c r="C94" s="112"/>
      <c r="D94" s="112"/>
    </row>
    <row r="95" spans="1:4" x14ac:dyDescent="0.25">
      <c r="A95" s="16"/>
    </row>
    <row r="96" spans="1:4" ht="12.75" customHeight="1" x14ac:dyDescent="0.25">
      <c r="A96" s="12" t="s">
        <v>75</v>
      </c>
      <c r="B96" s="114" t="s">
        <v>76</v>
      </c>
      <c r="C96" s="114"/>
      <c r="D96" s="12" t="s">
        <v>26</v>
      </c>
    </row>
    <row r="97" spans="1:6" x14ac:dyDescent="0.25">
      <c r="A97" s="8" t="s">
        <v>2</v>
      </c>
      <c r="B97" s="13" t="s">
        <v>77</v>
      </c>
      <c r="C97" s="20">
        <f>TRUNC(((1+1/3)/12)/12,4)</f>
        <v>9.1999999999999998E-3</v>
      </c>
      <c r="D97" s="14">
        <f t="shared" ref="D97:D102" si="1">TRUNC(($D$33+$D$76+$D$88)*C97,2)</f>
        <v>46.78</v>
      </c>
    </row>
    <row r="98" spans="1:6" x14ac:dyDescent="0.25">
      <c r="A98" s="8" t="s">
        <v>4</v>
      </c>
      <c r="B98" s="13" t="s">
        <v>78</v>
      </c>
      <c r="C98" s="20">
        <f>TRUNC(((2/30)/12),4)</f>
        <v>5.4999999999999997E-3</v>
      </c>
      <c r="D98" s="14">
        <f t="shared" si="1"/>
        <v>27.97</v>
      </c>
    </row>
    <row r="99" spans="1:6" x14ac:dyDescent="0.25">
      <c r="A99" s="8" t="s">
        <v>6</v>
      </c>
      <c r="B99" s="13" t="s">
        <v>79</v>
      </c>
      <c r="C99" s="20">
        <f>TRUNC(((5/30)/12)*2%,4)</f>
        <v>2.0000000000000001E-4</v>
      </c>
      <c r="D99" s="14">
        <f t="shared" si="1"/>
        <v>1.01</v>
      </c>
    </row>
    <row r="100" spans="1:6" x14ac:dyDescent="0.25">
      <c r="A100" s="8" t="s">
        <v>8</v>
      </c>
      <c r="B100" s="13" t="s">
        <v>80</v>
      </c>
      <c r="C100" s="20">
        <f>TRUNC(((15/30)/12)*8%,4)</f>
        <v>3.3E-3</v>
      </c>
      <c r="D100" s="14">
        <f t="shared" si="1"/>
        <v>16.78</v>
      </c>
    </row>
    <row r="101" spans="1:6" x14ac:dyDescent="0.25">
      <c r="A101" s="8" t="s">
        <v>31</v>
      </c>
      <c r="B101" s="13" t="s">
        <v>81</v>
      </c>
      <c r="C101" s="20">
        <f>((1+1/3)/12)*3%*(4/12)</f>
        <v>1.1111111111111109E-3</v>
      </c>
      <c r="D101" s="14">
        <f t="shared" si="1"/>
        <v>5.65</v>
      </c>
    </row>
    <row r="102" spans="1:6" x14ac:dyDescent="0.25">
      <c r="A102" s="8" t="s">
        <v>51</v>
      </c>
      <c r="B102" s="13" t="s">
        <v>82</v>
      </c>
      <c r="C102" s="20"/>
      <c r="D102" s="14">
        <f t="shared" si="1"/>
        <v>0</v>
      </c>
    </row>
    <row r="103" spans="1:6" ht="12.75" customHeight="1" x14ac:dyDescent="0.25">
      <c r="A103" s="110" t="s">
        <v>56</v>
      </c>
      <c r="B103" s="110"/>
      <c r="C103" s="110"/>
      <c r="D103" s="19">
        <f>SUM(D97:D102)</f>
        <v>98.190000000000012</v>
      </c>
      <c r="E103" s="26"/>
      <c r="F103" s="26"/>
    </row>
    <row r="106" spans="1:6" x14ac:dyDescent="0.25">
      <c r="A106" s="112" t="s">
        <v>83</v>
      </c>
      <c r="B106" s="112"/>
      <c r="C106" s="112"/>
      <c r="D106" s="112"/>
    </row>
    <row r="107" spans="1:6" x14ac:dyDescent="0.25">
      <c r="A107" s="16"/>
    </row>
    <row r="108" spans="1:6" ht="12.75" customHeight="1" x14ac:dyDescent="0.25">
      <c r="A108" s="12" t="s">
        <v>84</v>
      </c>
      <c r="B108" s="114" t="s">
        <v>85</v>
      </c>
      <c r="C108" s="114"/>
      <c r="D108" s="12" t="s">
        <v>26</v>
      </c>
    </row>
    <row r="109" spans="1:6" ht="12.75" customHeight="1" x14ac:dyDescent="0.25">
      <c r="A109" s="8" t="s">
        <v>2</v>
      </c>
      <c r="B109" s="111" t="s">
        <v>86</v>
      </c>
      <c r="C109" s="111"/>
      <c r="D109" s="14">
        <f>((D33+D76+D88)/220)*22*0</f>
        <v>0</v>
      </c>
    </row>
    <row r="110" spans="1:6" ht="12.75" customHeight="1" x14ac:dyDescent="0.25">
      <c r="A110" s="110" t="s">
        <v>35</v>
      </c>
      <c r="B110" s="110"/>
      <c r="C110" s="110"/>
      <c r="D110" s="19">
        <f>SUM(D109)</f>
        <v>0</v>
      </c>
    </row>
    <row r="113" spans="1:4" x14ac:dyDescent="0.25">
      <c r="A113" s="112" t="s">
        <v>87</v>
      </c>
      <c r="B113" s="112"/>
      <c r="C113" s="112"/>
      <c r="D113" s="112"/>
    </row>
    <row r="114" spans="1:4" x14ac:dyDescent="0.25">
      <c r="A114" s="16"/>
    </row>
    <row r="115" spans="1:4" ht="12.75" customHeight="1" x14ac:dyDescent="0.25">
      <c r="A115" s="12">
        <v>4</v>
      </c>
      <c r="B115" s="110" t="s">
        <v>88</v>
      </c>
      <c r="C115" s="110"/>
      <c r="D115" s="12" t="s">
        <v>26</v>
      </c>
    </row>
    <row r="116" spans="1:4" ht="12.75" customHeight="1" x14ac:dyDescent="0.25">
      <c r="A116" s="8" t="s">
        <v>75</v>
      </c>
      <c r="B116" s="111" t="s">
        <v>76</v>
      </c>
      <c r="C116" s="111"/>
      <c r="D116" s="23">
        <f>D103</f>
        <v>98.190000000000012</v>
      </c>
    </row>
    <row r="117" spans="1:4" ht="12.75" customHeight="1" x14ac:dyDescent="0.25">
      <c r="A117" s="8" t="s">
        <v>84</v>
      </c>
      <c r="B117" s="111" t="s">
        <v>85</v>
      </c>
      <c r="C117" s="111"/>
      <c r="D117" s="23">
        <f>D110</f>
        <v>0</v>
      </c>
    </row>
    <row r="118" spans="1:4" ht="12.75" customHeight="1" x14ac:dyDescent="0.25">
      <c r="A118" s="110" t="s">
        <v>35</v>
      </c>
      <c r="B118" s="110"/>
      <c r="C118" s="110"/>
      <c r="D118" s="19">
        <f>SUM(D116:D117)</f>
        <v>98.190000000000012</v>
      </c>
    </row>
    <row r="121" spans="1:4" x14ac:dyDescent="0.25">
      <c r="A121" s="105" t="s">
        <v>89</v>
      </c>
      <c r="B121" s="105"/>
      <c r="C121" s="105"/>
      <c r="D121" s="105"/>
    </row>
    <row r="123" spans="1:4" ht="12.75" customHeight="1" x14ac:dyDescent="0.25">
      <c r="A123" s="12">
        <v>5</v>
      </c>
      <c r="B123" s="115" t="s">
        <v>90</v>
      </c>
      <c r="C123" s="115"/>
      <c r="D123" s="12" t="s">
        <v>26</v>
      </c>
    </row>
    <row r="124" spans="1:4" x14ac:dyDescent="0.25">
      <c r="A124" s="8" t="s">
        <v>2</v>
      </c>
      <c r="B124" s="13" t="s">
        <v>91</v>
      </c>
      <c r="C124" s="13"/>
      <c r="D124" s="14">
        <v>66.040000000000006</v>
      </c>
    </row>
    <row r="125" spans="1:4" x14ac:dyDescent="0.25">
      <c r="A125" s="8" t="s">
        <v>4</v>
      </c>
      <c r="B125" s="13" t="s">
        <v>92</v>
      </c>
      <c r="C125" s="13"/>
      <c r="D125" s="14">
        <v>61.36</v>
      </c>
    </row>
    <row r="126" spans="1:4" x14ac:dyDescent="0.25">
      <c r="A126" s="8" t="s">
        <v>6</v>
      </c>
      <c r="B126" s="13" t="s">
        <v>93</v>
      </c>
      <c r="C126" s="13"/>
      <c r="D126" s="14">
        <v>40.22</v>
      </c>
    </row>
    <row r="127" spans="1:4" x14ac:dyDescent="0.25">
      <c r="A127" s="8" t="s">
        <v>8</v>
      </c>
      <c r="B127" s="13" t="s">
        <v>34</v>
      </c>
      <c r="C127" s="13"/>
      <c r="D127" s="14"/>
    </row>
    <row r="128" spans="1:4" ht="12.75" customHeight="1" x14ac:dyDescent="0.25">
      <c r="A128" s="110" t="s">
        <v>56</v>
      </c>
      <c r="B128" s="110"/>
      <c r="C128" s="110"/>
      <c r="D128" s="15">
        <f>SUM(D124:D127)</f>
        <v>167.62</v>
      </c>
    </row>
    <row r="131" spans="1:4" x14ac:dyDescent="0.25">
      <c r="A131" s="105" t="s">
        <v>94</v>
      </c>
      <c r="B131" s="105"/>
      <c r="C131" s="105"/>
      <c r="D131" s="105"/>
    </row>
    <row r="133" spans="1:4" x14ac:dyDescent="0.25">
      <c r="A133" s="12">
        <v>6</v>
      </c>
      <c r="B133" s="28" t="s">
        <v>95</v>
      </c>
      <c r="C133" s="12" t="s">
        <v>45</v>
      </c>
      <c r="D133" s="12" t="s">
        <v>26</v>
      </c>
    </row>
    <row r="134" spans="1:4" x14ac:dyDescent="0.25">
      <c r="A134" s="8" t="s">
        <v>2</v>
      </c>
      <c r="B134" s="13" t="s">
        <v>96</v>
      </c>
      <c r="C134" s="20">
        <v>0.05</v>
      </c>
      <c r="D134" s="23">
        <f>D154*C134</f>
        <v>267.56860999999998</v>
      </c>
    </row>
    <row r="135" spans="1:4" x14ac:dyDescent="0.25">
      <c r="A135" s="8" t="s">
        <v>4</v>
      </c>
      <c r="B135" s="13" t="s">
        <v>97</v>
      </c>
      <c r="C135" s="20">
        <v>0.06</v>
      </c>
      <c r="D135" s="14">
        <f>(D154+D134)*C135</f>
        <v>337.13644859999999</v>
      </c>
    </row>
    <row r="136" spans="1:4" x14ac:dyDescent="0.25">
      <c r="A136" s="8" t="s">
        <v>6</v>
      </c>
      <c r="B136" s="13" t="s">
        <v>98</v>
      </c>
      <c r="C136" s="17">
        <f>SUM(C137:C142)</f>
        <v>8.6499999999999994E-2</v>
      </c>
      <c r="D136" s="14">
        <f>(D154+D134+D135)*C136/(1-C136)</f>
        <v>563.9854218597701</v>
      </c>
    </row>
    <row r="137" spans="1:4" x14ac:dyDescent="0.25">
      <c r="A137" s="8"/>
      <c r="B137" s="13" t="s">
        <v>99</v>
      </c>
      <c r="C137" s="20"/>
      <c r="D137" s="23">
        <f t="shared" ref="D137:D142" si="2">$D$156*C137</f>
        <v>0</v>
      </c>
    </row>
    <row r="138" spans="1:4" x14ac:dyDescent="0.25">
      <c r="A138" s="8"/>
      <c r="B138" s="13" t="s">
        <v>100</v>
      </c>
      <c r="C138" s="20">
        <v>6.4999999999999997E-3</v>
      </c>
      <c r="D138" s="23">
        <f t="shared" si="2"/>
        <v>42.380407422988505</v>
      </c>
    </row>
    <row r="139" spans="1:4" x14ac:dyDescent="0.25">
      <c r="A139" s="8"/>
      <c r="B139" s="13" t="s">
        <v>101</v>
      </c>
      <c r="C139" s="20">
        <v>0.03</v>
      </c>
      <c r="D139" s="23">
        <f t="shared" si="2"/>
        <v>195.60188041379311</v>
      </c>
    </row>
    <row r="140" spans="1:4" x14ac:dyDescent="0.25">
      <c r="A140" s="8"/>
      <c r="B140" s="13" t="s">
        <v>102</v>
      </c>
      <c r="C140" s="65"/>
      <c r="D140" s="23">
        <f t="shared" si="2"/>
        <v>0</v>
      </c>
    </row>
    <row r="141" spans="1:4" x14ac:dyDescent="0.25">
      <c r="A141" s="8"/>
      <c r="B141" s="13" t="s">
        <v>103</v>
      </c>
      <c r="C141" s="20"/>
      <c r="D141" s="23">
        <f t="shared" si="2"/>
        <v>0</v>
      </c>
    </row>
    <row r="142" spans="1:4" x14ac:dyDescent="0.25">
      <c r="A142" s="8"/>
      <c r="B142" s="13" t="s">
        <v>104</v>
      </c>
      <c r="C142" s="20">
        <v>0.05</v>
      </c>
      <c r="D142" s="23">
        <f t="shared" si="2"/>
        <v>326.00313402298855</v>
      </c>
    </row>
    <row r="143" spans="1:4" ht="13.5" customHeight="1" x14ac:dyDescent="0.25">
      <c r="A143" s="116" t="s">
        <v>56</v>
      </c>
      <c r="B143" s="116"/>
      <c r="C143" s="29">
        <f>ROUND((1+C135)*(1+C134)/(1-C136)-1,4)</f>
        <v>0.21840000000000001</v>
      </c>
      <c r="D143" s="19">
        <f>SUM(D134:D136)</f>
        <v>1168.6904804597702</v>
      </c>
    </row>
    <row r="146" spans="1:4" x14ac:dyDescent="0.25">
      <c r="A146" s="105" t="s">
        <v>105</v>
      </c>
      <c r="B146" s="105"/>
      <c r="C146" s="105"/>
      <c r="D146" s="105"/>
    </row>
    <row r="148" spans="1:4" ht="12.75" customHeight="1" x14ac:dyDescent="0.25">
      <c r="A148" s="12"/>
      <c r="B148" s="110" t="s">
        <v>106</v>
      </c>
      <c r="C148" s="110"/>
      <c r="D148" s="12" t="s">
        <v>26</v>
      </c>
    </row>
    <row r="149" spans="1:4" ht="12.75" customHeight="1" x14ac:dyDescent="0.25">
      <c r="A149" s="12" t="s">
        <v>2</v>
      </c>
      <c r="B149" s="111" t="s">
        <v>24</v>
      </c>
      <c r="C149" s="111"/>
      <c r="D149" s="30">
        <f>D33</f>
        <v>2675.4960000000001</v>
      </c>
    </row>
    <row r="150" spans="1:4" ht="12.75" customHeight="1" x14ac:dyDescent="0.25">
      <c r="A150" s="12" t="s">
        <v>4</v>
      </c>
      <c r="B150" s="111" t="s">
        <v>36</v>
      </c>
      <c r="C150" s="111"/>
      <c r="D150" s="30">
        <f>D76</f>
        <v>2245.2961999999998</v>
      </c>
    </row>
    <row r="151" spans="1:4" ht="12.75" customHeight="1" x14ac:dyDescent="0.25">
      <c r="A151" s="12" t="s">
        <v>6</v>
      </c>
      <c r="B151" s="111" t="s">
        <v>65</v>
      </c>
      <c r="C151" s="111"/>
      <c r="D151" s="30">
        <f>D88</f>
        <v>164.76999999999998</v>
      </c>
    </row>
    <row r="152" spans="1:4" ht="12.75" customHeight="1" x14ac:dyDescent="0.25">
      <c r="A152" s="12" t="s">
        <v>8</v>
      </c>
      <c r="B152" s="111" t="s">
        <v>73</v>
      </c>
      <c r="C152" s="111"/>
      <c r="D152" s="30">
        <f>D118</f>
        <v>98.190000000000012</v>
      </c>
    </row>
    <row r="153" spans="1:4" ht="12.75" customHeight="1" x14ac:dyDescent="0.25">
      <c r="A153" s="12" t="s">
        <v>31</v>
      </c>
      <c r="B153" s="111" t="s">
        <v>89</v>
      </c>
      <c r="C153" s="111"/>
      <c r="D153" s="30">
        <f>D128</f>
        <v>167.62</v>
      </c>
    </row>
    <row r="154" spans="1:4" ht="12.75" customHeight="1" x14ac:dyDescent="0.25">
      <c r="A154" s="110" t="s">
        <v>107</v>
      </c>
      <c r="B154" s="110"/>
      <c r="C154" s="110"/>
      <c r="D154" s="31">
        <f>SUM(D149:D153)</f>
        <v>5351.3721999999998</v>
      </c>
    </row>
    <row r="155" spans="1:4" ht="12.75" customHeight="1" x14ac:dyDescent="0.25">
      <c r="A155" s="12" t="s">
        <v>51</v>
      </c>
      <c r="B155" s="111" t="s">
        <v>108</v>
      </c>
      <c r="C155" s="111"/>
      <c r="D155" s="32">
        <f>D143</f>
        <v>1168.6904804597702</v>
      </c>
    </row>
    <row r="156" spans="1:4" ht="12.75" customHeight="1" x14ac:dyDescent="0.25">
      <c r="A156" s="110" t="s">
        <v>109</v>
      </c>
      <c r="B156" s="110"/>
      <c r="C156" s="110"/>
      <c r="D156" s="31">
        <f>SUM(D154:D155)</f>
        <v>6520.0626804597705</v>
      </c>
    </row>
  </sheetData>
  <mergeCells count="71">
    <mergeCell ref="A156:C156"/>
    <mergeCell ref="B151:C151"/>
    <mergeCell ref="B152:C152"/>
    <mergeCell ref="B153:C153"/>
    <mergeCell ref="A154:C154"/>
    <mergeCell ref="B155:C155"/>
    <mergeCell ref="A143:B143"/>
    <mergeCell ref="A146:D146"/>
    <mergeCell ref="B148:C148"/>
    <mergeCell ref="B149:C149"/>
    <mergeCell ref="B150:C150"/>
    <mergeCell ref="A118:C118"/>
    <mergeCell ref="A121:D121"/>
    <mergeCell ref="B123:C123"/>
    <mergeCell ref="A128:C128"/>
    <mergeCell ref="A131:D131"/>
    <mergeCell ref="A110:C110"/>
    <mergeCell ref="A113:D113"/>
    <mergeCell ref="B115:C115"/>
    <mergeCell ref="B116:C116"/>
    <mergeCell ref="B117:C117"/>
    <mergeCell ref="B96:C96"/>
    <mergeCell ref="A103:C103"/>
    <mergeCell ref="A106:D106"/>
    <mergeCell ref="B108:C108"/>
    <mergeCell ref="B109:C109"/>
    <mergeCell ref="A79:D79"/>
    <mergeCell ref="B81:C81"/>
    <mergeCell ref="A88:C88"/>
    <mergeCell ref="A91:D91"/>
    <mergeCell ref="A94:D94"/>
    <mergeCell ref="B72:C72"/>
    <mergeCell ref="B73:C73"/>
    <mergeCell ref="B74:C74"/>
    <mergeCell ref="B75:C75"/>
    <mergeCell ref="A76:C76"/>
    <mergeCell ref="B64:C64"/>
    <mergeCell ref="B65:C65"/>
    <mergeCell ref="B66:C66"/>
    <mergeCell ref="A67:C67"/>
    <mergeCell ref="A70:D70"/>
    <mergeCell ref="A46:D46"/>
    <mergeCell ref="A57:B57"/>
    <mergeCell ref="A60:D60"/>
    <mergeCell ref="B62:C62"/>
    <mergeCell ref="B63:C63"/>
    <mergeCell ref="A33:C33"/>
    <mergeCell ref="A36:D36"/>
    <mergeCell ref="A38:D38"/>
    <mergeCell ref="B40:C40"/>
    <mergeCell ref="A43:B43"/>
    <mergeCell ref="B28:C28"/>
    <mergeCell ref="B29:C29"/>
    <mergeCell ref="B30:C30"/>
    <mergeCell ref="B31:C31"/>
    <mergeCell ref="B32:C32"/>
    <mergeCell ref="C21:D21"/>
    <mergeCell ref="A23:D23"/>
    <mergeCell ref="B25:C25"/>
    <mergeCell ref="B26:C26"/>
    <mergeCell ref="B27:C27"/>
    <mergeCell ref="A15:D15"/>
    <mergeCell ref="C17:D17"/>
    <mergeCell ref="C18:D18"/>
    <mergeCell ref="C19:D19"/>
    <mergeCell ref="C20:D20"/>
    <mergeCell ref="A1:D1"/>
    <mergeCell ref="A3:D3"/>
    <mergeCell ref="A10:D10"/>
    <mergeCell ref="A12:B12"/>
    <mergeCell ref="A13:B13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6"/>
  <sheetViews>
    <sheetView topLeftCell="A106" zoomScale="115" zoomScaleNormal="115" workbookViewId="0">
      <selection activeCell="D127" sqref="D127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104" t="s">
        <v>0</v>
      </c>
      <c r="B1" s="104"/>
      <c r="C1" s="104"/>
      <c r="D1" s="104"/>
    </row>
    <row r="2" spans="1:4" ht="15.75" x14ac:dyDescent="0.25">
      <c r="A2" s="2"/>
      <c r="B2" s="2"/>
      <c r="C2" s="2"/>
      <c r="D2" s="2"/>
    </row>
    <row r="3" spans="1:4" x14ac:dyDescent="0.25">
      <c r="A3" s="105" t="s">
        <v>1</v>
      </c>
      <c r="B3" s="105"/>
      <c r="C3" s="105"/>
      <c r="D3" s="105"/>
    </row>
    <row r="4" spans="1:4" x14ac:dyDescent="0.25">
      <c r="A4" s="3"/>
      <c r="B4" s="3"/>
      <c r="C4" s="3"/>
      <c r="D4" s="3"/>
    </row>
    <row r="5" spans="1:4" x14ac:dyDescent="0.25">
      <c r="A5" s="4" t="s">
        <v>2</v>
      </c>
      <c r="B5" s="5" t="s">
        <v>3</v>
      </c>
      <c r="C5" s="6"/>
      <c r="D5" s="7"/>
    </row>
    <row r="6" spans="1:4" x14ac:dyDescent="0.25">
      <c r="A6" s="4" t="s">
        <v>4</v>
      </c>
      <c r="B6" s="5" t="s">
        <v>5</v>
      </c>
      <c r="C6" s="6"/>
      <c r="D6" s="7"/>
    </row>
    <row r="7" spans="1:4" x14ac:dyDescent="0.25">
      <c r="A7" s="4" t="s">
        <v>6</v>
      </c>
      <c r="B7" s="5" t="s">
        <v>7</v>
      </c>
      <c r="C7" s="6"/>
      <c r="D7" s="7"/>
    </row>
    <row r="8" spans="1:4" x14ac:dyDescent="0.25">
      <c r="A8" s="4" t="s">
        <v>8</v>
      </c>
      <c r="B8" s="5" t="s">
        <v>9</v>
      </c>
      <c r="C8" s="6"/>
      <c r="D8" s="7">
        <v>24</v>
      </c>
    </row>
    <row r="10" spans="1:4" x14ac:dyDescent="0.25">
      <c r="A10" s="105" t="s">
        <v>10</v>
      </c>
      <c r="B10" s="105"/>
      <c r="C10" s="105"/>
      <c r="D10" s="105"/>
    </row>
    <row r="11" spans="1:4" x14ac:dyDescent="0.25">
      <c r="A11" s="3"/>
      <c r="B11" s="3"/>
      <c r="C11" s="3"/>
      <c r="D11" s="3"/>
    </row>
    <row r="12" spans="1:4" ht="38.25" customHeight="1" x14ac:dyDescent="0.25">
      <c r="A12" s="106" t="s">
        <v>11</v>
      </c>
      <c r="B12" s="106"/>
      <c r="C12" s="8" t="s">
        <v>12</v>
      </c>
      <c r="D12" s="9" t="s">
        <v>13</v>
      </c>
    </row>
    <row r="13" spans="1:4" s="11" customFormat="1" ht="12.75" x14ac:dyDescent="0.2">
      <c r="A13" s="107" t="s">
        <v>186</v>
      </c>
      <c r="B13" s="107"/>
      <c r="C13" s="10" t="s">
        <v>15</v>
      </c>
      <c r="D13" s="10">
        <v>2</v>
      </c>
    </row>
    <row r="15" spans="1:4" x14ac:dyDescent="0.25">
      <c r="A15" s="105" t="s">
        <v>16</v>
      </c>
      <c r="B15" s="105"/>
      <c r="C15" s="105"/>
      <c r="D15" s="105"/>
    </row>
    <row r="16" spans="1:4" x14ac:dyDescent="0.25">
      <c r="A16" s="3"/>
      <c r="B16" s="3"/>
      <c r="C16" s="3"/>
      <c r="D16" s="3"/>
    </row>
    <row r="17" spans="1:4" x14ac:dyDescent="0.25">
      <c r="A17" s="4">
        <v>1</v>
      </c>
      <c r="B17" s="4" t="s">
        <v>17</v>
      </c>
      <c r="C17" s="108" t="s">
        <v>189</v>
      </c>
      <c r="D17" s="108"/>
    </row>
    <row r="18" spans="1:4" x14ac:dyDescent="0.25">
      <c r="A18" s="4">
        <v>2</v>
      </c>
      <c r="B18" s="4" t="s">
        <v>19</v>
      </c>
      <c r="C18" s="108" t="s">
        <v>127</v>
      </c>
      <c r="D18" s="108"/>
    </row>
    <row r="19" spans="1:4" x14ac:dyDescent="0.25">
      <c r="A19" s="4">
        <v>3</v>
      </c>
      <c r="B19" s="4" t="s">
        <v>21</v>
      </c>
      <c r="C19" s="108">
        <v>2229.58</v>
      </c>
      <c r="D19" s="108"/>
    </row>
    <row r="20" spans="1:4" x14ac:dyDescent="0.25">
      <c r="A20" s="4">
        <v>4</v>
      </c>
      <c r="B20" s="4" t="s">
        <v>22</v>
      </c>
      <c r="C20" s="108" t="s">
        <v>196</v>
      </c>
      <c r="D20" s="108"/>
    </row>
    <row r="21" spans="1:4" x14ac:dyDescent="0.25">
      <c r="A21" s="4">
        <v>5</v>
      </c>
      <c r="B21" s="4" t="s">
        <v>23</v>
      </c>
      <c r="C21" s="108"/>
      <c r="D21" s="108"/>
    </row>
    <row r="23" spans="1:4" x14ac:dyDescent="0.25">
      <c r="A23" s="105" t="s">
        <v>24</v>
      </c>
      <c r="B23" s="105"/>
      <c r="C23" s="105"/>
      <c r="D23" s="105"/>
    </row>
    <row r="25" spans="1:4" ht="12.75" customHeight="1" x14ac:dyDescent="0.25">
      <c r="A25" s="12">
        <v>1</v>
      </c>
      <c r="B25" s="110" t="s">
        <v>25</v>
      </c>
      <c r="C25" s="110"/>
      <c r="D25" s="12" t="s">
        <v>26</v>
      </c>
    </row>
    <row r="26" spans="1:4" ht="12.75" customHeight="1" x14ac:dyDescent="0.25">
      <c r="A26" s="8" t="s">
        <v>2</v>
      </c>
      <c r="B26" s="111" t="s">
        <v>27</v>
      </c>
      <c r="C26" s="111"/>
      <c r="D26" s="14">
        <v>2229.58</v>
      </c>
    </row>
    <row r="27" spans="1:4" ht="12.75" customHeight="1" x14ac:dyDescent="0.25">
      <c r="A27" s="8" t="s">
        <v>4</v>
      </c>
      <c r="B27" s="111" t="s">
        <v>28</v>
      </c>
      <c r="C27" s="111"/>
      <c r="D27" s="14">
        <f>D26*0.3</f>
        <v>668.87399999999991</v>
      </c>
    </row>
    <row r="28" spans="1:4" ht="12.75" customHeight="1" x14ac:dyDescent="0.25">
      <c r="A28" s="8" t="s">
        <v>6</v>
      </c>
      <c r="B28" s="111" t="s">
        <v>29</v>
      </c>
      <c r="C28" s="111"/>
      <c r="D28" s="14"/>
    </row>
    <row r="29" spans="1:4" ht="12.75" customHeight="1" x14ac:dyDescent="0.25">
      <c r="A29" s="8" t="s">
        <v>8</v>
      </c>
      <c r="B29" s="111" t="s">
        <v>30</v>
      </c>
      <c r="C29" s="111"/>
      <c r="D29" s="14"/>
    </row>
    <row r="30" spans="1:4" ht="12.75" customHeight="1" x14ac:dyDescent="0.25">
      <c r="A30" s="8" t="s">
        <v>31</v>
      </c>
      <c r="B30" s="111" t="s">
        <v>32</v>
      </c>
      <c r="C30" s="111"/>
      <c r="D30" s="14"/>
    </row>
    <row r="31" spans="1:4" x14ac:dyDescent="0.25">
      <c r="A31" s="8"/>
      <c r="B31" s="111"/>
      <c r="C31" s="111"/>
      <c r="D31" s="14"/>
    </row>
    <row r="32" spans="1:4" ht="12.75" customHeight="1" x14ac:dyDescent="0.25">
      <c r="A32" s="8" t="s">
        <v>33</v>
      </c>
      <c r="B32" s="111" t="s">
        <v>34</v>
      </c>
      <c r="C32" s="111"/>
      <c r="D32" s="14"/>
    </row>
    <row r="33" spans="1:4" ht="12.75" customHeight="1" x14ac:dyDescent="0.25">
      <c r="A33" s="110" t="s">
        <v>35</v>
      </c>
      <c r="B33" s="110"/>
      <c r="C33" s="110"/>
      <c r="D33" s="15">
        <f>SUM(D26:D32)</f>
        <v>2898.4539999999997</v>
      </c>
    </row>
    <row r="36" spans="1:4" x14ac:dyDescent="0.25">
      <c r="A36" s="105" t="s">
        <v>36</v>
      </c>
      <c r="B36" s="105"/>
      <c r="C36" s="105"/>
      <c r="D36" s="105"/>
    </row>
    <row r="37" spans="1:4" x14ac:dyDescent="0.25">
      <c r="A37" s="16"/>
    </row>
    <row r="38" spans="1:4" x14ac:dyDescent="0.25">
      <c r="A38" s="112" t="s">
        <v>37</v>
      </c>
      <c r="B38" s="112"/>
      <c r="C38" s="112"/>
      <c r="D38" s="112"/>
    </row>
    <row r="40" spans="1:4" ht="12.75" customHeight="1" x14ac:dyDescent="0.25">
      <c r="A40" s="12" t="s">
        <v>38</v>
      </c>
      <c r="B40" s="110" t="s">
        <v>39</v>
      </c>
      <c r="C40" s="110"/>
      <c r="D40" s="12" t="s">
        <v>26</v>
      </c>
    </row>
    <row r="41" spans="1:4" x14ac:dyDescent="0.25">
      <c r="A41" s="8" t="s">
        <v>2</v>
      </c>
      <c r="B41" s="13" t="s">
        <v>40</v>
      </c>
      <c r="C41" s="17">
        <f>TRUNC(1/12,4)</f>
        <v>8.3299999999999999E-2</v>
      </c>
      <c r="D41" s="14">
        <f>TRUNC($D$33*C41,2)</f>
        <v>241.44</v>
      </c>
    </row>
    <row r="42" spans="1:4" x14ac:dyDescent="0.25">
      <c r="A42" s="8" t="s">
        <v>4</v>
      </c>
      <c r="B42" s="13" t="s">
        <v>41</v>
      </c>
      <c r="C42" s="17">
        <f>TRUNC(((1+1/3)/12),4)</f>
        <v>0.1111</v>
      </c>
      <c r="D42" s="14">
        <f>TRUNC($D$33*C42,2)</f>
        <v>322.01</v>
      </c>
    </row>
    <row r="43" spans="1:4" ht="12.75" customHeight="1" x14ac:dyDescent="0.25">
      <c r="A43" s="110" t="s">
        <v>35</v>
      </c>
      <c r="B43" s="110"/>
      <c r="C43" s="18">
        <f>SUM(C41:C42)</f>
        <v>0.19440000000000002</v>
      </c>
      <c r="D43" s="19">
        <f>SUM(D41:D42)</f>
        <v>563.45000000000005</v>
      </c>
    </row>
    <row r="46" spans="1:4" ht="12.75" customHeight="1" x14ac:dyDescent="0.25">
      <c r="A46" s="113" t="s">
        <v>42</v>
      </c>
      <c r="B46" s="113"/>
      <c r="C46" s="113"/>
      <c r="D46" s="113"/>
    </row>
    <row r="48" spans="1:4" x14ac:dyDescent="0.25">
      <c r="A48" s="12" t="s">
        <v>43</v>
      </c>
      <c r="B48" s="12" t="s">
        <v>44</v>
      </c>
      <c r="C48" s="12" t="s">
        <v>45</v>
      </c>
      <c r="D48" s="12" t="s">
        <v>26</v>
      </c>
    </row>
    <row r="49" spans="1:4" x14ac:dyDescent="0.25">
      <c r="A49" s="8" t="s">
        <v>2</v>
      </c>
      <c r="B49" s="13" t="s">
        <v>46</v>
      </c>
      <c r="C49" s="20">
        <v>0.2</v>
      </c>
      <c r="D49" s="14">
        <f t="shared" ref="D49:D56" si="0">TRUNC(($D$33+$D$43)*C49,2)</f>
        <v>692.38</v>
      </c>
    </row>
    <row r="50" spans="1:4" x14ac:dyDescent="0.25">
      <c r="A50" s="8" t="s">
        <v>4</v>
      </c>
      <c r="B50" s="13" t="s">
        <v>47</v>
      </c>
      <c r="C50" s="20">
        <v>2.5000000000000001E-2</v>
      </c>
      <c r="D50" s="14">
        <f t="shared" si="0"/>
        <v>86.54</v>
      </c>
    </row>
    <row r="51" spans="1:4" x14ac:dyDescent="0.25">
      <c r="A51" s="8" t="s">
        <v>6</v>
      </c>
      <c r="B51" s="13" t="s">
        <v>48</v>
      </c>
      <c r="C51" s="21">
        <v>0.03</v>
      </c>
      <c r="D51" s="14">
        <f t="shared" si="0"/>
        <v>103.85</v>
      </c>
    </row>
    <row r="52" spans="1:4" x14ac:dyDescent="0.25">
      <c r="A52" s="8" t="s">
        <v>8</v>
      </c>
      <c r="B52" s="13" t="s">
        <v>49</v>
      </c>
      <c r="C52" s="20">
        <v>1.4999999999999999E-2</v>
      </c>
      <c r="D52" s="14">
        <f t="shared" si="0"/>
        <v>51.92</v>
      </c>
    </row>
    <row r="53" spans="1:4" x14ac:dyDescent="0.25">
      <c r="A53" s="8" t="s">
        <v>31</v>
      </c>
      <c r="B53" s="13" t="s">
        <v>50</v>
      </c>
      <c r="C53" s="20">
        <v>0.01</v>
      </c>
      <c r="D53" s="14">
        <f t="shared" si="0"/>
        <v>34.61</v>
      </c>
    </row>
    <row r="54" spans="1:4" x14ac:dyDescent="0.25">
      <c r="A54" s="8" t="s">
        <v>51</v>
      </c>
      <c r="B54" s="13" t="s">
        <v>52</v>
      </c>
      <c r="C54" s="20">
        <v>6.0000000000000001E-3</v>
      </c>
      <c r="D54" s="14">
        <f t="shared" si="0"/>
        <v>20.77</v>
      </c>
    </row>
    <row r="55" spans="1:4" x14ac:dyDescent="0.25">
      <c r="A55" s="8" t="s">
        <v>33</v>
      </c>
      <c r="B55" s="13" t="s">
        <v>53</v>
      </c>
      <c r="C55" s="20">
        <v>2E-3</v>
      </c>
      <c r="D55" s="14">
        <f t="shared" si="0"/>
        <v>6.92</v>
      </c>
    </row>
    <row r="56" spans="1:4" x14ac:dyDescent="0.25">
      <c r="A56" s="8" t="s">
        <v>54</v>
      </c>
      <c r="B56" s="13" t="s">
        <v>55</v>
      </c>
      <c r="C56" s="20">
        <v>0.08</v>
      </c>
      <c r="D56" s="14">
        <f t="shared" si="0"/>
        <v>276.95</v>
      </c>
    </row>
    <row r="57" spans="1:4" ht="12.75" customHeight="1" x14ac:dyDescent="0.25">
      <c r="A57" s="110" t="s">
        <v>56</v>
      </c>
      <c r="B57" s="110"/>
      <c r="C57" s="22">
        <f>SUM(C49:C56)</f>
        <v>0.36800000000000005</v>
      </c>
      <c r="D57" s="19">
        <f>SUM(D49:D56)</f>
        <v>1273.9399999999998</v>
      </c>
    </row>
    <row r="60" spans="1:4" x14ac:dyDescent="0.25">
      <c r="A60" s="112" t="s">
        <v>57</v>
      </c>
      <c r="B60" s="112"/>
      <c r="C60" s="112"/>
      <c r="D60" s="112"/>
    </row>
    <row r="62" spans="1:4" ht="12.75" customHeight="1" x14ac:dyDescent="0.25">
      <c r="A62" s="12" t="s">
        <v>58</v>
      </c>
      <c r="B62" s="114" t="s">
        <v>59</v>
      </c>
      <c r="C62" s="114"/>
      <c r="D62" s="12" t="s">
        <v>26</v>
      </c>
    </row>
    <row r="63" spans="1:4" ht="12.75" customHeight="1" x14ac:dyDescent="0.25">
      <c r="A63" s="8" t="s">
        <v>2</v>
      </c>
      <c r="B63" s="111" t="s">
        <v>60</v>
      </c>
      <c r="C63" s="111"/>
      <c r="D63" s="14">
        <f>IF((26*2*4.9)&gt;(D26*0.06),(26*2*4.9)-(D26*0.06),0)</f>
        <v>121.02520000000001</v>
      </c>
    </row>
    <row r="64" spans="1:4" ht="12.75" customHeight="1" x14ac:dyDescent="0.25">
      <c r="A64" s="8" t="s">
        <v>4</v>
      </c>
      <c r="B64" s="111" t="s">
        <v>61</v>
      </c>
      <c r="C64" s="111"/>
      <c r="D64" s="14">
        <f>22*20.49*0.95</f>
        <v>428.24099999999993</v>
      </c>
    </row>
    <row r="65" spans="1:5" ht="12.75" customHeight="1" x14ac:dyDescent="0.25">
      <c r="A65" s="8" t="s">
        <v>6</v>
      </c>
      <c r="B65" s="111" t="s">
        <v>62</v>
      </c>
      <c r="C65" s="111"/>
      <c r="D65" s="14"/>
    </row>
    <row r="66" spans="1:5" ht="12.75" customHeight="1" x14ac:dyDescent="0.25">
      <c r="A66" s="8" t="s">
        <v>8</v>
      </c>
      <c r="B66" s="111" t="s">
        <v>34</v>
      </c>
      <c r="C66" s="111"/>
      <c r="D66" s="14"/>
    </row>
    <row r="67" spans="1:5" ht="12.75" customHeight="1" x14ac:dyDescent="0.25">
      <c r="A67" s="110" t="s">
        <v>35</v>
      </c>
      <c r="B67" s="110"/>
      <c r="C67" s="110"/>
      <c r="D67" s="19">
        <f>SUM(D63:D66)</f>
        <v>549.26619999999991</v>
      </c>
    </row>
    <row r="70" spans="1:5" x14ac:dyDescent="0.25">
      <c r="A70" s="112" t="s">
        <v>63</v>
      </c>
      <c r="B70" s="112"/>
      <c r="C70" s="112"/>
      <c r="D70" s="112"/>
    </row>
    <row r="72" spans="1:5" ht="12.75" customHeight="1" x14ac:dyDescent="0.25">
      <c r="A72" s="12">
        <v>2</v>
      </c>
      <c r="B72" s="114" t="s">
        <v>64</v>
      </c>
      <c r="C72" s="114"/>
      <c r="D72" s="12" t="s">
        <v>26</v>
      </c>
    </row>
    <row r="73" spans="1:5" ht="12.75" customHeight="1" x14ac:dyDescent="0.25">
      <c r="A73" s="8" t="s">
        <v>38</v>
      </c>
      <c r="B73" s="111" t="s">
        <v>39</v>
      </c>
      <c r="C73" s="111"/>
      <c r="D73" s="23">
        <f>D43</f>
        <v>563.45000000000005</v>
      </c>
    </row>
    <row r="74" spans="1:5" ht="12.75" customHeight="1" x14ac:dyDescent="0.25">
      <c r="A74" s="8" t="s">
        <v>43</v>
      </c>
      <c r="B74" s="111" t="s">
        <v>44</v>
      </c>
      <c r="C74" s="111"/>
      <c r="D74" s="23">
        <f>D57</f>
        <v>1273.9399999999998</v>
      </c>
    </row>
    <row r="75" spans="1:5" ht="12.75" customHeight="1" x14ac:dyDescent="0.25">
      <c r="A75" s="8" t="s">
        <v>58</v>
      </c>
      <c r="B75" s="111" t="s">
        <v>59</v>
      </c>
      <c r="C75" s="111"/>
      <c r="D75" s="23">
        <f>D67</f>
        <v>549.26619999999991</v>
      </c>
    </row>
    <row r="76" spans="1:5" ht="12.75" customHeight="1" x14ac:dyDescent="0.25">
      <c r="A76" s="110" t="s">
        <v>35</v>
      </c>
      <c r="B76" s="110"/>
      <c r="C76" s="110"/>
      <c r="D76" s="19">
        <f>SUM(D73:D75)</f>
        <v>2386.6561999999999</v>
      </c>
    </row>
    <row r="77" spans="1:5" x14ac:dyDescent="0.25">
      <c r="A77" s="24"/>
      <c r="E77" s="25"/>
    </row>
    <row r="79" spans="1:5" x14ac:dyDescent="0.25">
      <c r="A79" s="105" t="s">
        <v>65</v>
      </c>
      <c r="B79" s="105"/>
      <c r="C79" s="105"/>
      <c r="D79" s="105"/>
      <c r="E79" s="26"/>
    </row>
    <row r="80" spans="1:5" ht="12.75" customHeight="1" x14ac:dyDescent="0.25">
      <c r="E80" s="25"/>
    </row>
    <row r="81" spans="1:4" ht="12.75" customHeight="1" x14ac:dyDescent="0.25">
      <c r="A81" s="12">
        <v>3</v>
      </c>
      <c r="B81" s="114" t="s">
        <v>66</v>
      </c>
      <c r="C81" s="114"/>
      <c r="D81" s="12" t="s">
        <v>26</v>
      </c>
    </row>
    <row r="82" spans="1:4" x14ac:dyDescent="0.25">
      <c r="A82" s="8" t="s">
        <v>2</v>
      </c>
      <c r="B82" s="27" t="s">
        <v>67</v>
      </c>
      <c r="C82" s="20">
        <f>TRUNC(((1/12)*5%),4)</f>
        <v>4.1000000000000003E-3</v>
      </c>
      <c r="D82" s="14">
        <f>TRUNC($D$33*C82,2)</f>
        <v>11.88</v>
      </c>
    </row>
    <row r="83" spans="1:4" x14ac:dyDescent="0.25">
      <c r="A83" s="8" t="s">
        <v>4</v>
      </c>
      <c r="B83" s="27" t="s">
        <v>68</v>
      </c>
      <c r="C83" s="20">
        <v>0.08</v>
      </c>
      <c r="D83" s="14">
        <f>TRUNC(D82*C83,2)</f>
        <v>0.95</v>
      </c>
    </row>
    <row r="84" spans="1:4" x14ac:dyDescent="0.25">
      <c r="A84" s="8" t="s">
        <v>6</v>
      </c>
      <c r="B84" s="27" t="s">
        <v>69</v>
      </c>
      <c r="C84" s="20">
        <f>TRUNC(8%*5%*40%,4)</f>
        <v>1.6000000000000001E-3</v>
      </c>
      <c r="D84" s="14">
        <f>TRUNC($D$33*C84,2)</f>
        <v>4.63</v>
      </c>
    </row>
    <row r="85" spans="1:4" x14ac:dyDescent="0.25">
      <c r="A85" s="8" t="s">
        <v>8</v>
      </c>
      <c r="B85" s="27" t="s">
        <v>70</v>
      </c>
      <c r="C85" s="20">
        <f>TRUNC(((7/30)/12)*95%,4)</f>
        <v>1.84E-2</v>
      </c>
      <c r="D85" s="14">
        <f>TRUNC($D$33*C85,2)</f>
        <v>53.33</v>
      </c>
    </row>
    <row r="86" spans="1:4" ht="25.5" x14ac:dyDescent="0.25">
      <c r="A86" s="8" t="s">
        <v>31</v>
      </c>
      <c r="B86" s="27" t="s">
        <v>71</v>
      </c>
      <c r="C86" s="20">
        <f>C57</f>
        <v>0.36800000000000005</v>
      </c>
      <c r="D86" s="14">
        <f>TRUNC(D85*C86,2)</f>
        <v>19.62</v>
      </c>
    </row>
    <row r="87" spans="1:4" x14ac:dyDescent="0.25">
      <c r="A87" s="8" t="s">
        <v>51</v>
      </c>
      <c r="B87" s="27" t="s">
        <v>72</v>
      </c>
      <c r="C87" s="20">
        <f>TRUNC(8%*95%*40%,4)</f>
        <v>3.04E-2</v>
      </c>
      <c r="D87" s="14">
        <f>TRUNC($D$33*C87,2)</f>
        <v>88.11</v>
      </c>
    </row>
    <row r="88" spans="1:4" ht="12.75" customHeight="1" x14ac:dyDescent="0.25">
      <c r="A88" s="110" t="s">
        <v>35</v>
      </c>
      <c r="B88" s="110"/>
      <c r="C88" s="110"/>
      <c r="D88" s="19">
        <f>SUM(D82:D87)</f>
        <v>178.51999999999998</v>
      </c>
    </row>
    <row r="91" spans="1:4" x14ac:dyDescent="0.25">
      <c r="A91" s="105" t="s">
        <v>73</v>
      </c>
      <c r="B91" s="105"/>
      <c r="C91" s="105"/>
      <c r="D91" s="105"/>
    </row>
    <row r="94" spans="1:4" x14ac:dyDescent="0.25">
      <c r="A94" s="112" t="s">
        <v>74</v>
      </c>
      <c r="B94" s="112"/>
      <c r="C94" s="112"/>
      <c r="D94" s="112"/>
    </row>
    <row r="95" spans="1:4" x14ac:dyDescent="0.25">
      <c r="A95" s="16"/>
    </row>
    <row r="96" spans="1:4" ht="12.75" customHeight="1" x14ac:dyDescent="0.25">
      <c r="A96" s="12" t="s">
        <v>75</v>
      </c>
      <c r="B96" s="114" t="s">
        <v>76</v>
      </c>
      <c r="C96" s="114"/>
      <c r="D96" s="12" t="s">
        <v>26</v>
      </c>
    </row>
    <row r="97" spans="1:6" x14ac:dyDescent="0.25">
      <c r="A97" s="8" t="s">
        <v>2</v>
      </c>
      <c r="B97" s="13" t="s">
        <v>77</v>
      </c>
      <c r="C97" s="20">
        <f>TRUNC(((1+1/3)/12)/12,4)</f>
        <v>9.1999999999999998E-3</v>
      </c>
      <c r="D97" s="14">
        <f t="shared" ref="D97:D102" si="1">TRUNC(($D$33+$D$76+$D$88)*C97,2)</f>
        <v>50.26</v>
      </c>
    </row>
    <row r="98" spans="1:6" x14ac:dyDescent="0.25">
      <c r="A98" s="8" t="s">
        <v>4</v>
      </c>
      <c r="B98" s="13" t="s">
        <v>78</v>
      </c>
      <c r="C98" s="20">
        <f>TRUNC(((2/30)/12),4)</f>
        <v>5.4999999999999997E-3</v>
      </c>
      <c r="D98" s="14">
        <f t="shared" si="1"/>
        <v>30.04</v>
      </c>
    </row>
    <row r="99" spans="1:6" x14ac:dyDescent="0.25">
      <c r="A99" s="8" t="s">
        <v>6</v>
      </c>
      <c r="B99" s="13" t="s">
        <v>79</v>
      </c>
      <c r="C99" s="20">
        <f>TRUNC(((5/30)/12)*2%,4)</f>
        <v>2.0000000000000001E-4</v>
      </c>
      <c r="D99" s="14">
        <f t="shared" si="1"/>
        <v>1.0900000000000001</v>
      </c>
    </row>
    <row r="100" spans="1:6" x14ac:dyDescent="0.25">
      <c r="A100" s="8" t="s">
        <v>8</v>
      </c>
      <c r="B100" s="13" t="s">
        <v>80</v>
      </c>
      <c r="C100" s="20">
        <f>TRUNC(((15/30)/12)*8%,4)</f>
        <v>3.3E-3</v>
      </c>
      <c r="D100" s="14">
        <f t="shared" si="1"/>
        <v>18.02</v>
      </c>
    </row>
    <row r="101" spans="1:6" x14ac:dyDescent="0.25">
      <c r="A101" s="8" t="s">
        <v>31</v>
      </c>
      <c r="B101" s="13" t="s">
        <v>81</v>
      </c>
      <c r="C101" s="20">
        <f>((1+1/3)/12)*3%*(4/12)</f>
        <v>1.1111111111111109E-3</v>
      </c>
      <c r="D101" s="14">
        <f t="shared" si="1"/>
        <v>6.07</v>
      </c>
    </row>
    <row r="102" spans="1:6" x14ac:dyDescent="0.25">
      <c r="A102" s="8" t="s">
        <v>51</v>
      </c>
      <c r="B102" s="13" t="s">
        <v>82</v>
      </c>
      <c r="C102" s="20"/>
      <c r="D102" s="14">
        <f t="shared" si="1"/>
        <v>0</v>
      </c>
    </row>
    <row r="103" spans="1:6" ht="12.75" customHeight="1" x14ac:dyDescent="0.25">
      <c r="A103" s="110" t="s">
        <v>56</v>
      </c>
      <c r="B103" s="110"/>
      <c r="C103" s="110"/>
      <c r="D103" s="19">
        <f>SUM(D97:D102)</f>
        <v>105.47999999999999</v>
      </c>
      <c r="E103" s="26"/>
      <c r="F103" s="26"/>
    </row>
    <row r="106" spans="1:6" x14ac:dyDescent="0.25">
      <c r="A106" s="112" t="s">
        <v>83</v>
      </c>
      <c r="B106" s="112"/>
      <c r="C106" s="112"/>
      <c r="D106" s="112"/>
    </row>
    <row r="107" spans="1:6" x14ac:dyDescent="0.25">
      <c r="A107" s="16"/>
    </row>
    <row r="108" spans="1:6" ht="12.75" customHeight="1" x14ac:dyDescent="0.25">
      <c r="A108" s="12" t="s">
        <v>84</v>
      </c>
      <c r="B108" s="114" t="s">
        <v>85</v>
      </c>
      <c r="C108" s="114"/>
      <c r="D108" s="12" t="s">
        <v>26</v>
      </c>
    </row>
    <row r="109" spans="1:6" ht="12.75" customHeight="1" x14ac:dyDescent="0.25">
      <c r="A109" s="8" t="s">
        <v>2</v>
      </c>
      <c r="B109" s="111" t="s">
        <v>86</v>
      </c>
      <c r="C109" s="111"/>
      <c r="D109" s="14">
        <f>((D33+D76+D88)/220)*22*0</f>
        <v>0</v>
      </c>
    </row>
    <row r="110" spans="1:6" ht="12.75" customHeight="1" x14ac:dyDescent="0.25">
      <c r="A110" s="110" t="s">
        <v>35</v>
      </c>
      <c r="B110" s="110"/>
      <c r="C110" s="110"/>
      <c r="D110" s="19">
        <f>SUM(D109)</f>
        <v>0</v>
      </c>
    </row>
    <row r="113" spans="1:4" x14ac:dyDescent="0.25">
      <c r="A113" s="112" t="s">
        <v>87</v>
      </c>
      <c r="B113" s="112"/>
      <c r="C113" s="112"/>
      <c r="D113" s="112"/>
    </row>
    <row r="114" spans="1:4" x14ac:dyDescent="0.25">
      <c r="A114" s="16"/>
    </row>
    <row r="115" spans="1:4" ht="12.75" customHeight="1" x14ac:dyDescent="0.25">
      <c r="A115" s="12">
        <v>4</v>
      </c>
      <c r="B115" s="110" t="s">
        <v>88</v>
      </c>
      <c r="C115" s="110"/>
      <c r="D115" s="12" t="s">
        <v>26</v>
      </c>
    </row>
    <row r="116" spans="1:4" ht="12.75" customHeight="1" x14ac:dyDescent="0.25">
      <c r="A116" s="8" t="s">
        <v>75</v>
      </c>
      <c r="B116" s="111" t="s">
        <v>76</v>
      </c>
      <c r="C116" s="111"/>
      <c r="D116" s="23">
        <f>D103</f>
        <v>105.47999999999999</v>
      </c>
    </row>
    <row r="117" spans="1:4" ht="12.75" customHeight="1" x14ac:dyDescent="0.25">
      <c r="A117" s="8" t="s">
        <v>84</v>
      </c>
      <c r="B117" s="111" t="s">
        <v>85</v>
      </c>
      <c r="C117" s="111"/>
      <c r="D117" s="23">
        <f>D110</f>
        <v>0</v>
      </c>
    </row>
    <row r="118" spans="1:4" ht="12.75" customHeight="1" x14ac:dyDescent="0.25">
      <c r="A118" s="110" t="s">
        <v>35</v>
      </c>
      <c r="B118" s="110"/>
      <c r="C118" s="110"/>
      <c r="D118" s="19">
        <f>SUM(D116:D117)</f>
        <v>105.47999999999999</v>
      </c>
    </row>
    <row r="121" spans="1:4" x14ac:dyDescent="0.25">
      <c r="A121" s="105" t="s">
        <v>89</v>
      </c>
      <c r="B121" s="105"/>
      <c r="C121" s="105"/>
      <c r="D121" s="105"/>
    </row>
    <row r="123" spans="1:4" ht="12.75" customHeight="1" x14ac:dyDescent="0.25">
      <c r="A123" s="12">
        <v>5</v>
      </c>
      <c r="B123" s="115" t="s">
        <v>90</v>
      </c>
      <c r="C123" s="115"/>
      <c r="D123" s="12" t="s">
        <v>26</v>
      </c>
    </row>
    <row r="124" spans="1:4" x14ac:dyDescent="0.25">
      <c r="A124" s="8" t="s">
        <v>2</v>
      </c>
      <c r="B124" s="13" t="s">
        <v>91</v>
      </c>
      <c r="C124" s="13"/>
      <c r="D124" s="14">
        <v>75.349999999999994</v>
      </c>
    </row>
    <row r="125" spans="1:4" x14ac:dyDescent="0.25">
      <c r="A125" s="8" t="s">
        <v>4</v>
      </c>
      <c r="B125" s="13" t="s">
        <v>92</v>
      </c>
      <c r="C125" s="13"/>
      <c r="D125" s="14">
        <v>61.36</v>
      </c>
    </row>
    <row r="126" spans="1:4" x14ac:dyDescent="0.25">
      <c r="A126" s="8" t="s">
        <v>6</v>
      </c>
      <c r="B126" s="13" t="s">
        <v>93</v>
      </c>
      <c r="C126" s="13"/>
      <c r="D126" s="14">
        <v>40.22</v>
      </c>
    </row>
    <row r="127" spans="1:4" x14ac:dyDescent="0.25">
      <c r="A127" s="8" t="s">
        <v>8</v>
      </c>
      <c r="B127" s="13" t="s">
        <v>34</v>
      </c>
      <c r="C127" s="13"/>
      <c r="D127" s="14"/>
    </row>
    <row r="128" spans="1:4" ht="12.75" customHeight="1" x14ac:dyDescent="0.25">
      <c r="A128" s="110" t="s">
        <v>56</v>
      </c>
      <c r="B128" s="110"/>
      <c r="C128" s="110"/>
      <c r="D128" s="15">
        <f>SUM(D124:D127)</f>
        <v>176.92999999999998</v>
      </c>
    </row>
    <row r="131" spans="1:4" x14ac:dyDescent="0.25">
      <c r="A131" s="105" t="s">
        <v>94</v>
      </c>
      <c r="B131" s="105"/>
      <c r="C131" s="105"/>
      <c r="D131" s="105"/>
    </row>
    <row r="133" spans="1:4" x14ac:dyDescent="0.25">
      <c r="A133" s="12">
        <v>6</v>
      </c>
      <c r="B133" s="28" t="s">
        <v>95</v>
      </c>
      <c r="C133" s="12" t="s">
        <v>45</v>
      </c>
      <c r="D133" s="12" t="s">
        <v>26</v>
      </c>
    </row>
    <row r="134" spans="1:4" x14ac:dyDescent="0.25">
      <c r="A134" s="8" t="s">
        <v>2</v>
      </c>
      <c r="B134" s="13" t="s">
        <v>96</v>
      </c>
      <c r="C134" s="20">
        <v>0.05</v>
      </c>
      <c r="D134" s="23">
        <f>D154*C134</f>
        <v>287.30201</v>
      </c>
    </row>
    <row r="135" spans="1:4" x14ac:dyDescent="0.25">
      <c r="A135" s="8" t="s">
        <v>4</v>
      </c>
      <c r="B135" s="13" t="s">
        <v>97</v>
      </c>
      <c r="C135" s="20">
        <v>0.06</v>
      </c>
      <c r="D135" s="14">
        <f>(D154+D134)*C135</f>
        <v>362.00053259999999</v>
      </c>
    </row>
    <row r="136" spans="1:4" x14ac:dyDescent="0.25">
      <c r="A136" s="8" t="s">
        <v>6</v>
      </c>
      <c r="B136" s="13" t="s">
        <v>98</v>
      </c>
      <c r="C136" s="17">
        <f>SUM(C137:C142)</f>
        <v>8.6499999999999994E-2</v>
      </c>
      <c r="D136" s="14">
        <f>(D154+D134+D135)*C136/(1-C136)</f>
        <v>605.57979992873561</v>
      </c>
    </row>
    <row r="137" spans="1:4" x14ac:dyDescent="0.25">
      <c r="A137" s="8"/>
      <c r="B137" s="13" t="s">
        <v>99</v>
      </c>
      <c r="C137" s="20"/>
      <c r="D137" s="23">
        <f t="shared" ref="D137:D142" si="2">$D$156*C137</f>
        <v>0</v>
      </c>
    </row>
    <row r="138" spans="1:4" x14ac:dyDescent="0.25">
      <c r="A138" s="8"/>
      <c r="B138" s="13" t="s">
        <v>100</v>
      </c>
      <c r="C138" s="20">
        <v>6.4999999999999997E-3</v>
      </c>
      <c r="D138" s="23">
        <f t="shared" si="2"/>
        <v>45.505996526436775</v>
      </c>
    </row>
    <row r="139" spans="1:4" x14ac:dyDescent="0.25">
      <c r="A139" s="8"/>
      <c r="B139" s="13" t="s">
        <v>101</v>
      </c>
      <c r="C139" s="20">
        <v>0.03</v>
      </c>
      <c r="D139" s="23">
        <f t="shared" si="2"/>
        <v>210.02767627586204</v>
      </c>
    </row>
    <row r="140" spans="1:4" x14ac:dyDescent="0.25">
      <c r="A140" s="8"/>
      <c r="B140" s="13" t="s">
        <v>102</v>
      </c>
      <c r="C140" s="65"/>
      <c r="D140" s="23">
        <f t="shared" si="2"/>
        <v>0</v>
      </c>
    </row>
    <row r="141" spans="1:4" x14ac:dyDescent="0.25">
      <c r="A141" s="8"/>
      <c r="B141" s="13" t="s">
        <v>103</v>
      </c>
      <c r="C141" s="20"/>
      <c r="D141" s="23">
        <f t="shared" si="2"/>
        <v>0</v>
      </c>
    </row>
    <row r="142" spans="1:4" x14ac:dyDescent="0.25">
      <c r="A142" s="8"/>
      <c r="B142" s="13" t="s">
        <v>104</v>
      </c>
      <c r="C142" s="20">
        <v>0.05</v>
      </c>
      <c r="D142" s="23">
        <f t="shared" si="2"/>
        <v>350.04612712643677</v>
      </c>
    </row>
    <row r="143" spans="1:4" ht="13.5" customHeight="1" x14ac:dyDescent="0.25">
      <c r="A143" s="116" t="s">
        <v>56</v>
      </c>
      <c r="B143" s="116"/>
      <c r="C143" s="29">
        <f>ROUND((1+C135)*(1+C134)/(1-C136)-1,4)</f>
        <v>0.21840000000000001</v>
      </c>
      <c r="D143" s="19">
        <f>SUM(D134:D136)</f>
        <v>1254.8823425287355</v>
      </c>
    </row>
    <row r="146" spans="1:4" x14ac:dyDescent="0.25">
      <c r="A146" s="105" t="s">
        <v>105</v>
      </c>
      <c r="B146" s="105"/>
      <c r="C146" s="105"/>
      <c r="D146" s="105"/>
    </row>
    <row r="148" spans="1:4" ht="12.75" customHeight="1" x14ac:dyDescent="0.25">
      <c r="A148" s="12"/>
      <c r="B148" s="110" t="s">
        <v>106</v>
      </c>
      <c r="C148" s="110"/>
      <c r="D148" s="12" t="s">
        <v>26</v>
      </c>
    </row>
    <row r="149" spans="1:4" ht="12.75" customHeight="1" x14ac:dyDescent="0.25">
      <c r="A149" s="12" t="s">
        <v>2</v>
      </c>
      <c r="B149" s="111" t="s">
        <v>24</v>
      </c>
      <c r="C149" s="111"/>
      <c r="D149" s="30">
        <f>D33</f>
        <v>2898.4539999999997</v>
      </c>
    </row>
    <row r="150" spans="1:4" ht="12.75" customHeight="1" x14ac:dyDescent="0.25">
      <c r="A150" s="12" t="s">
        <v>4</v>
      </c>
      <c r="B150" s="111" t="s">
        <v>36</v>
      </c>
      <c r="C150" s="111"/>
      <c r="D150" s="30">
        <f>D76</f>
        <v>2386.6561999999999</v>
      </c>
    </row>
    <row r="151" spans="1:4" ht="12.75" customHeight="1" x14ac:dyDescent="0.25">
      <c r="A151" s="12" t="s">
        <v>6</v>
      </c>
      <c r="B151" s="111" t="s">
        <v>65</v>
      </c>
      <c r="C151" s="111"/>
      <c r="D151" s="30">
        <f>D88</f>
        <v>178.51999999999998</v>
      </c>
    </row>
    <row r="152" spans="1:4" ht="12.75" customHeight="1" x14ac:dyDescent="0.25">
      <c r="A152" s="12" t="s">
        <v>8</v>
      </c>
      <c r="B152" s="111" t="s">
        <v>73</v>
      </c>
      <c r="C152" s="111"/>
      <c r="D152" s="30">
        <f>D118</f>
        <v>105.47999999999999</v>
      </c>
    </row>
    <row r="153" spans="1:4" ht="12.75" customHeight="1" x14ac:dyDescent="0.25">
      <c r="A153" s="12" t="s">
        <v>31</v>
      </c>
      <c r="B153" s="111" t="s">
        <v>89</v>
      </c>
      <c r="C153" s="111"/>
      <c r="D153" s="30">
        <f>D128</f>
        <v>176.92999999999998</v>
      </c>
    </row>
    <row r="154" spans="1:4" ht="12.75" customHeight="1" x14ac:dyDescent="0.25">
      <c r="A154" s="110" t="s">
        <v>107</v>
      </c>
      <c r="B154" s="110"/>
      <c r="C154" s="110"/>
      <c r="D154" s="31">
        <f>SUM(D149:D153)</f>
        <v>5746.0401999999995</v>
      </c>
    </row>
    <row r="155" spans="1:4" ht="12.75" customHeight="1" x14ac:dyDescent="0.25">
      <c r="A155" s="12" t="s">
        <v>51</v>
      </c>
      <c r="B155" s="111" t="s">
        <v>108</v>
      </c>
      <c r="C155" s="111"/>
      <c r="D155" s="32">
        <f>D143</f>
        <v>1254.8823425287355</v>
      </c>
    </row>
    <row r="156" spans="1:4" ht="12.75" customHeight="1" x14ac:dyDescent="0.25">
      <c r="A156" s="110" t="s">
        <v>109</v>
      </c>
      <c r="B156" s="110"/>
      <c r="C156" s="110"/>
      <c r="D156" s="31">
        <f>SUM(D154:D155)</f>
        <v>7000.922542528735</v>
      </c>
    </row>
  </sheetData>
  <mergeCells count="71">
    <mergeCell ref="A156:C156"/>
    <mergeCell ref="B151:C151"/>
    <mergeCell ref="B152:C152"/>
    <mergeCell ref="B153:C153"/>
    <mergeCell ref="A154:C154"/>
    <mergeCell ref="B155:C155"/>
    <mergeCell ref="A143:B143"/>
    <mergeCell ref="A146:D146"/>
    <mergeCell ref="B148:C148"/>
    <mergeCell ref="B149:C149"/>
    <mergeCell ref="B150:C150"/>
    <mergeCell ref="A118:C118"/>
    <mergeCell ref="A121:D121"/>
    <mergeCell ref="B123:C123"/>
    <mergeCell ref="A128:C128"/>
    <mergeCell ref="A131:D131"/>
    <mergeCell ref="A110:C110"/>
    <mergeCell ref="A113:D113"/>
    <mergeCell ref="B115:C115"/>
    <mergeCell ref="B116:C116"/>
    <mergeCell ref="B117:C117"/>
    <mergeCell ref="B96:C96"/>
    <mergeCell ref="A103:C103"/>
    <mergeCell ref="A106:D106"/>
    <mergeCell ref="B108:C108"/>
    <mergeCell ref="B109:C109"/>
    <mergeCell ref="A79:D79"/>
    <mergeCell ref="B81:C81"/>
    <mergeCell ref="A88:C88"/>
    <mergeCell ref="A91:D91"/>
    <mergeCell ref="A94:D94"/>
    <mergeCell ref="B72:C72"/>
    <mergeCell ref="B73:C73"/>
    <mergeCell ref="B74:C74"/>
    <mergeCell ref="B75:C75"/>
    <mergeCell ref="A76:C76"/>
    <mergeCell ref="B64:C64"/>
    <mergeCell ref="B65:C65"/>
    <mergeCell ref="B66:C66"/>
    <mergeCell ref="A67:C67"/>
    <mergeCell ref="A70:D70"/>
    <mergeCell ref="A46:D46"/>
    <mergeCell ref="A57:B57"/>
    <mergeCell ref="A60:D60"/>
    <mergeCell ref="B62:C62"/>
    <mergeCell ref="B63:C63"/>
    <mergeCell ref="A33:C33"/>
    <mergeCell ref="A36:D36"/>
    <mergeCell ref="A38:D38"/>
    <mergeCell ref="B40:C40"/>
    <mergeCell ref="A43:B43"/>
    <mergeCell ref="B28:C28"/>
    <mergeCell ref="B29:C29"/>
    <mergeCell ref="B30:C30"/>
    <mergeCell ref="B31:C31"/>
    <mergeCell ref="B32:C32"/>
    <mergeCell ref="C21:D21"/>
    <mergeCell ref="A23:D23"/>
    <mergeCell ref="B25:C25"/>
    <mergeCell ref="B26:C26"/>
    <mergeCell ref="B27:C27"/>
    <mergeCell ref="A15:D15"/>
    <mergeCell ref="C17:D17"/>
    <mergeCell ref="C18:D18"/>
    <mergeCell ref="C19:D19"/>
    <mergeCell ref="C20:D20"/>
    <mergeCell ref="A1:D1"/>
    <mergeCell ref="A3:D3"/>
    <mergeCell ref="A10:D10"/>
    <mergeCell ref="A12:B12"/>
    <mergeCell ref="A13:B13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96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21</vt:i4>
      </vt:variant>
      <vt:variant>
        <vt:lpstr>Intervalos nomeados</vt:lpstr>
      </vt:variant>
      <vt:variant>
        <vt:i4>3</vt:i4>
      </vt:variant>
    </vt:vector>
  </HeadingPairs>
  <TitlesOfParts>
    <vt:vector size="24" baseType="lpstr">
      <vt:lpstr>engeletr</vt:lpstr>
      <vt:lpstr>encrefig</vt:lpstr>
      <vt:lpstr>enceletr</vt:lpstr>
      <vt:lpstr>enccivil</vt:lpstr>
      <vt:lpstr>tectele</vt:lpstr>
      <vt:lpstr>teceletro</vt:lpstr>
      <vt:lpstr>bomcivil</vt:lpstr>
      <vt:lpstr>tecrefrig</vt:lpstr>
      <vt:lpstr>eletric</vt:lpstr>
      <vt:lpstr>eletricPD</vt:lpstr>
      <vt:lpstr>eletricPN</vt:lpstr>
      <vt:lpstr>ajmontD</vt:lpstr>
      <vt:lpstr>auxcivil</vt:lpstr>
      <vt:lpstr>auxtelha</vt:lpstr>
      <vt:lpstr>tecseg</vt:lpstr>
      <vt:lpstr>ajmontN</vt:lpstr>
      <vt:lpstr>pintorN</vt:lpstr>
      <vt:lpstr>pintorD</vt:lpstr>
      <vt:lpstr>hextraAE</vt:lpstr>
      <vt:lpstr>hextraAnE</vt:lpstr>
      <vt:lpstr>total</vt:lpstr>
      <vt:lpstr>hextraAE!Titulos_de_impressao</vt:lpstr>
      <vt:lpstr>hextraAnE!Titulos_de_impressao</vt:lpstr>
      <vt:lpstr>total!Titulos_de_impressao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Grace Lane Gama Bulcão</cp:lastModifiedBy>
  <cp:revision>2</cp:revision>
  <cp:lastPrinted>2023-10-19T20:08:44Z</cp:lastPrinted>
  <dcterms:created xsi:type="dcterms:W3CDTF">2019-01-29T18:54:26Z</dcterms:created>
  <dcterms:modified xsi:type="dcterms:W3CDTF">2023-10-27T20:02:05Z</dcterms:modified>
  <dc:language>pt-BR</dc:language>
</cp:coreProperties>
</file>