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5" yWindow="-150" windowWidth="15705" windowHeight="7770" tabRatio="661" activeTab="5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77" r:id="rId13"/>
    <sheet name="Item14" sheetId="45" state="hidden" r:id="rId14"/>
    <sheet name="Item15" sheetId="46" state="hidden" r:id="rId15"/>
    <sheet name="Item16" sheetId="47" state="hidden" r:id="rId16"/>
    <sheet name="Item17" sheetId="48" state="hidden" r:id="rId17"/>
    <sheet name="Item18" sheetId="49" state="hidden" r:id="rId18"/>
    <sheet name="Item19" sheetId="50" state="hidden" r:id="rId19"/>
    <sheet name="Item20" sheetId="51" state="hidden" r:id="rId20"/>
    <sheet name="Item21" sheetId="52" state="hidden" r:id="rId21"/>
    <sheet name="Item22" sheetId="53" state="hidden" r:id="rId22"/>
    <sheet name="Item23" sheetId="54" state="hidden" r:id="rId23"/>
    <sheet name="Item24" sheetId="55" state="hidden" r:id="rId24"/>
    <sheet name="Item25" sheetId="56" state="hidden" r:id="rId25"/>
    <sheet name="Item26" sheetId="57" state="hidden" r:id="rId26"/>
    <sheet name="Item27" sheetId="58" state="hidden" r:id="rId27"/>
    <sheet name="Item28" sheetId="59" state="hidden" r:id="rId28"/>
    <sheet name="Item29" sheetId="60" state="hidden" r:id="rId29"/>
    <sheet name="Item30" sheetId="61" state="hidden" r:id="rId30"/>
    <sheet name="Item31" sheetId="62" state="hidden" r:id="rId31"/>
    <sheet name="Item32" sheetId="63" state="hidden" r:id="rId32"/>
    <sheet name="Item33" sheetId="64" state="hidden" r:id="rId33"/>
    <sheet name="Item34" sheetId="65" state="hidden" r:id="rId34"/>
    <sheet name="Item35" sheetId="66" state="hidden" r:id="rId35"/>
    <sheet name="Item36" sheetId="67" state="hidden" r:id="rId36"/>
    <sheet name="Item37" sheetId="68" state="hidden" r:id="rId37"/>
    <sheet name="Item38" sheetId="69" state="hidden" r:id="rId38"/>
    <sheet name="Item39" sheetId="22" state="hidden" r:id="rId39"/>
    <sheet name="Item40" sheetId="23" state="hidden" r:id="rId40"/>
    <sheet name="Item41" sheetId="24" state="hidden" r:id="rId41"/>
    <sheet name="Item42" sheetId="25" state="hidden" r:id="rId42"/>
    <sheet name="Item43" sheetId="26" state="hidden" r:id="rId43"/>
    <sheet name="Item44" sheetId="27" state="hidden" r:id="rId44"/>
    <sheet name="Item45" sheetId="28" state="hidden" r:id="rId45"/>
    <sheet name="Item46" sheetId="29" state="hidden" r:id="rId46"/>
    <sheet name="Item47" sheetId="30" state="hidden" r:id="rId47"/>
    <sheet name="Item48" sheetId="31" state="hidden" r:id="rId48"/>
    <sheet name="Item49" sheetId="32" state="hidden" r:id="rId49"/>
    <sheet name="Item50" sheetId="33" state="hidden" r:id="rId50"/>
    <sheet name="TOTAL" sheetId="5" r:id="rId51"/>
    <sheet name="menores" sheetId="6" r:id="rId52"/>
  </sheets>
  <definedNames>
    <definedName name="_xlnm.Print_Area" localSheetId="51">menores!$A$1:$F$28</definedName>
    <definedName name="_xlnm.Print_Area" localSheetId="50">TOTAL!$A$1:$H$23</definedName>
    <definedName name="_xlnm.Print_Titles" localSheetId="51">menores!$1:$2</definedName>
    <definedName name="_xlnm.Print_Titles" localSheetId="50">TOTAL!$1:$9</definedName>
  </definedNames>
  <calcPr calcId="145621"/>
</workbook>
</file>

<file path=xl/calcChain.xml><?xml version="1.0" encoding="utf-8"?>
<calcChain xmlns="http://schemas.openxmlformats.org/spreadsheetml/2006/main">
  <c r="E16" i="5" l="1"/>
  <c r="E22" i="5"/>
  <c r="G22" i="5" s="1"/>
  <c r="C21" i="5"/>
  <c r="C18" i="5"/>
  <c r="H17" i="5"/>
  <c r="E27" i="6" l="1"/>
  <c r="D27" i="6"/>
  <c r="C27" i="6"/>
  <c r="B27" i="6"/>
  <c r="F22" i="5"/>
  <c r="D22" i="5"/>
  <c r="D21" i="5"/>
  <c r="C22" i="5"/>
  <c r="H20" i="77"/>
  <c r="G20" i="77" s="1"/>
  <c r="F20" i="77"/>
  <c r="D20" i="77"/>
  <c r="B20" i="77"/>
  <c r="A20" i="77" s="1"/>
  <c r="C20" i="77" s="1"/>
  <c r="I17" i="77"/>
  <c r="I16" i="77"/>
  <c r="I15" i="77"/>
  <c r="I14" i="77"/>
  <c r="I13" i="77"/>
  <c r="F3" i="77"/>
  <c r="F27" i="6" l="1"/>
  <c r="I11" i="77"/>
  <c r="I3" i="77"/>
  <c r="I10" i="77"/>
  <c r="I9" i="77"/>
  <c r="I8" i="77"/>
  <c r="I7" i="77"/>
  <c r="I6" i="77"/>
  <c r="I5" i="77"/>
  <c r="I4" i="77"/>
  <c r="I12" i="77"/>
  <c r="E20" i="77"/>
  <c r="E3" i="77" s="1"/>
  <c r="H5" i="70"/>
  <c r="H4" i="70"/>
  <c r="H3" i="70"/>
  <c r="H22" i="77" l="1"/>
  <c r="H23" i="77" s="1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E21" i="5"/>
  <c r="D20" i="5"/>
  <c r="E20" i="5"/>
  <c r="C20" i="5"/>
  <c r="D19" i="5"/>
  <c r="E19" i="5"/>
  <c r="C19" i="5"/>
  <c r="D18" i="5"/>
  <c r="E18" i="5"/>
  <c r="D17" i="5"/>
  <c r="E17" i="5"/>
  <c r="C17" i="5"/>
  <c r="D16" i="5"/>
  <c r="C16" i="5"/>
  <c r="D15" i="5"/>
  <c r="E15" i="5"/>
  <c r="C15" i="5"/>
  <c r="D14" i="5"/>
  <c r="E14" i="5"/>
  <c r="C14" i="5"/>
  <c r="D13" i="5"/>
  <c r="E13" i="5"/>
  <c r="C13" i="5"/>
  <c r="D12" i="5"/>
  <c r="E12" i="5"/>
  <c r="C12" i="5"/>
  <c r="D11" i="5"/>
  <c r="E11" i="5"/>
  <c r="C11" i="5"/>
  <c r="D10" i="5"/>
  <c r="E10" i="5"/>
  <c r="C10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F3" i="72"/>
  <c r="E8" i="6" s="1"/>
  <c r="H20" i="71"/>
  <c r="G20" i="71" s="1"/>
  <c r="B5" i="6" s="1"/>
  <c r="F20" i="71"/>
  <c r="D20" i="71"/>
  <c r="B20" i="71"/>
  <c r="A20" i="71" s="1"/>
  <c r="C20" i="71" s="1"/>
  <c r="I9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F3" i="70"/>
  <c r="E4" i="6" s="1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F3" i="69"/>
  <c r="H20" i="68"/>
  <c r="G20" i="68"/>
  <c r="F20" i="68"/>
  <c r="D20" i="68"/>
  <c r="B20" i="68"/>
  <c r="A20" i="68"/>
  <c r="C20" i="68" s="1"/>
  <c r="I17" i="68"/>
  <c r="I16" i="68"/>
  <c r="I15" i="68"/>
  <c r="I14" i="68"/>
  <c r="I13" i="68"/>
  <c r="I12" i="68"/>
  <c r="I11" i="68"/>
  <c r="I10" i="68"/>
  <c r="I9" i="68"/>
  <c r="I8" i="68"/>
  <c r="I7" i="68"/>
  <c r="I6" i="68"/>
  <c r="F3" i="68"/>
  <c r="H20" i="67"/>
  <c r="G20" i="67" s="1"/>
  <c r="F20" i="67"/>
  <c r="D20" i="67"/>
  <c r="B20" i="67"/>
  <c r="I17" i="67"/>
  <c r="I16" i="67"/>
  <c r="I15" i="67"/>
  <c r="I14" i="67"/>
  <c r="I13" i="67"/>
  <c r="I12" i="67"/>
  <c r="I11" i="67"/>
  <c r="I10" i="67"/>
  <c r="I9" i="67"/>
  <c r="I8" i="67"/>
  <c r="I7" i="67"/>
  <c r="I6" i="67"/>
  <c r="F3" i="67"/>
  <c r="H20" i="66"/>
  <c r="G20" i="66"/>
  <c r="F20" i="66"/>
  <c r="D20" i="66"/>
  <c r="C20" i="66"/>
  <c r="I3" i="66" s="1"/>
  <c r="B20" i="66"/>
  <c r="A20" i="66"/>
  <c r="I17" i="66"/>
  <c r="I16" i="66"/>
  <c r="I15" i="66"/>
  <c r="I14" i="66"/>
  <c r="I13" i="66"/>
  <c r="I12" i="66"/>
  <c r="I11" i="66"/>
  <c r="I10" i="66"/>
  <c r="I9" i="66"/>
  <c r="I8" i="66"/>
  <c r="I7" i="66"/>
  <c r="I6" i="66"/>
  <c r="I4" i="66"/>
  <c r="F3" i="66"/>
  <c r="H20" i="65"/>
  <c r="G20" i="65" s="1"/>
  <c r="F20" i="65"/>
  <c r="D20" i="65"/>
  <c r="B20" i="65"/>
  <c r="I17" i="65"/>
  <c r="I16" i="65"/>
  <c r="I15" i="65"/>
  <c r="I14" i="65"/>
  <c r="I13" i="65"/>
  <c r="I12" i="65"/>
  <c r="I11" i="65"/>
  <c r="I10" i="65"/>
  <c r="I9" i="65"/>
  <c r="I8" i="65"/>
  <c r="I7" i="65"/>
  <c r="I6" i="65"/>
  <c r="F3" i="65"/>
  <c r="H20" i="64"/>
  <c r="G20" i="64"/>
  <c r="F20" i="64"/>
  <c r="D20" i="64"/>
  <c r="B20" i="64"/>
  <c r="A20" i="64"/>
  <c r="C20" i="64" s="1"/>
  <c r="I17" i="64"/>
  <c r="I16" i="64"/>
  <c r="I15" i="64"/>
  <c r="I14" i="64"/>
  <c r="I13" i="64"/>
  <c r="I12" i="64"/>
  <c r="I11" i="64"/>
  <c r="I10" i="64"/>
  <c r="I9" i="64"/>
  <c r="I8" i="64"/>
  <c r="I7" i="64"/>
  <c r="I6" i="64"/>
  <c r="F3" i="64"/>
  <c r="H20" i="63"/>
  <c r="G20" i="63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I6" i="63"/>
  <c r="F3" i="63"/>
  <c r="H20" i="62"/>
  <c r="G20" i="62"/>
  <c r="F20" i="62"/>
  <c r="D20" i="62"/>
  <c r="C20" i="62"/>
  <c r="I3" i="62" s="1"/>
  <c r="B20" i="62"/>
  <c r="A20" i="62"/>
  <c r="I17" i="62"/>
  <c r="I16" i="62"/>
  <c r="I15" i="62"/>
  <c r="I14" i="62"/>
  <c r="I13" i="62"/>
  <c r="I12" i="62"/>
  <c r="I11" i="62"/>
  <c r="I10" i="62"/>
  <c r="I9" i="62"/>
  <c r="I8" i="62"/>
  <c r="I7" i="62"/>
  <c r="I6" i="62"/>
  <c r="I4" i="62"/>
  <c r="F3" i="62"/>
  <c r="H20" i="61"/>
  <c r="G20" i="61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I7" i="61"/>
  <c r="I6" i="61"/>
  <c r="F3" i="61"/>
  <c r="H20" i="60"/>
  <c r="G20" i="60"/>
  <c r="F20" i="60"/>
  <c r="D20" i="60"/>
  <c r="B20" i="60"/>
  <c r="A20" i="60"/>
  <c r="C20" i="60" s="1"/>
  <c r="I17" i="60"/>
  <c r="I16" i="60"/>
  <c r="I15" i="60"/>
  <c r="I14" i="60"/>
  <c r="I13" i="60"/>
  <c r="I12" i="60"/>
  <c r="I11" i="60"/>
  <c r="I10" i="60"/>
  <c r="I9" i="60"/>
  <c r="I8" i="60"/>
  <c r="I7" i="60"/>
  <c r="I6" i="60"/>
  <c r="F3" i="60"/>
  <c r="H20" i="59"/>
  <c r="G20" i="59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I7" i="59"/>
  <c r="I6" i="59"/>
  <c r="F3" i="59"/>
  <c r="H20" i="58"/>
  <c r="G20" i="58"/>
  <c r="F20" i="58"/>
  <c r="D20" i="58"/>
  <c r="C20" i="58"/>
  <c r="I3" i="58" s="1"/>
  <c r="B20" i="58"/>
  <c r="A20" i="58"/>
  <c r="I17" i="58"/>
  <c r="I16" i="58"/>
  <c r="I15" i="58"/>
  <c r="I14" i="58"/>
  <c r="I13" i="58"/>
  <c r="I12" i="58"/>
  <c r="I11" i="58"/>
  <c r="I10" i="58"/>
  <c r="I9" i="58"/>
  <c r="I8" i="58"/>
  <c r="I7" i="58"/>
  <c r="I6" i="58"/>
  <c r="I4" i="58"/>
  <c r="F3" i="58"/>
  <c r="H20" i="57"/>
  <c r="G20" i="57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I6" i="57"/>
  <c r="F3" i="57"/>
  <c r="H20" i="56"/>
  <c r="G20" i="56"/>
  <c r="F20" i="56"/>
  <c r="D20" i="56"/>
  <c r="B20" i="56"/>
  <c r="A20" i="56"/>
  <c r="C20" i="56" s="1"/>
  <c r="I17" i="56"/>
  <c r="I16" i="56"/>
  <c r="I15" i="56"/>
  <c r="I14" i="56"/>
  <c r="I13" i="56"/>
  <c r="I12" i="56"/>
  <c r="I11" i="56"/>
  <c r="I10" i="56"/>
  <c r="I9" i="56"/>
  <c r="I8" i="56"/>
  <c r="I7" i="56"/>
  <c r="I6" i="56"/>
  <c r="F3" i="56"/>
  <c r="H20" i="55"/>
  <c r="G20" i="55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I7" i="55"/>
  <c r="I6" i="55"/>
  <c r="F3" i="55"/>
  <c r="H20" i="54"/>
  <c r="G20" i="54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I7" i="54"/>
  <c r="I6" i="54"/>
  <c r="F3" i="54"/>
  <c r="H20" i="53"/>
  <c r="G20" i="53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I7" i="53"/>
  <c r="I6" i="53"/>
  <c r="F3" i="53"/>
  <c r="H20" i="52"/>
  <c r="G20" i="52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I7" i="52"/>
  <c r="I6" i="52"/>
  <c r="F3" i="52"/>
  <c r="H20" i="51"/>
  <c r="G20" i="51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E24" i="6" s="1"/>
  <c r="H20" i="41"/>
  <c r="G20" i="41" s="1"/>
  <c r="B21" i="6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C20" i="30"/>
  <c r="I3" i="30" s="1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C20" i="22"/>
  <c r="I3" i="22" s="1"/>
  <c r="B20" i="22"/>
  <c r="A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I6" i="71" l="1"/>
  <c r="I7" i="71"/>
  <c r="I8" i="71"/>
  <c r="A20" i="41"/>
  <c r="C20" i="41" s="1"/>
  <c r="A20" i="72"/>
  <c r="C20" i="72" s="1"/>
  <c r="I8" i="72" s="1"/>
  <c r="F16" i="6"/>
  <c r="F28" i="6" s="1"/>
  <c r="F8" i="6"/>
  <c r="F24" i="6"/>
  <c r="F6" i="6"/>
  <c r="F20" i="6"/>
  <c r="F12" i="6"/>
  <c r="F26" i="6"/>
  <c r="F22" i="6"/>
  <c r="F18" i="6"/>
  <c r="F14" i="6"/>
  <c r="F10" i="6"/>
  <c r="I3" i="71"/>
  <c r="E20" i="71" s="1"/>
  <c r="I4" i="71"/>
  <c r="I5" i="71"/>
  <c r="A20" i="73"/>
  <c r="C20" i="73" s="1"/>
  <c r="A20" i="75"/>
  <c r="C20" i="75" s="1"/>
  <c r="I10" i="75" s="1"/>
  <c r="A20" i="70"/>
  <c r="C20" i="70" s="1"/>
  <c r="I10" i="70" s="1"/>
  <c r="A20" i="74"/>
  <c r="C20" i="74" s="1"/>
  <c r="I12" i="74" s="1"/>
  <c r="C20" i="59"/>
  <c r="I5" i="60"/>
  <c r="I4" i="60"/>
  <c r="I3" i="60"/>
  <c r="E20" i="60" s="1"/>
  <c r="I5" i="68"/>
  <c r="I4" i="68"/>
  <c r="I3" i="68"/>
  <c r="E20" i="68" s="1"/>
  <c r="I5" i="39"/>
  <c r="I4" i="39"/>
  <c r="I3" i="39"/>
  <c r="E20" i="39"/>
  <c r="E3" i="39" s="1"/>
  <c r="F17" i="5" s="1"/>
  <c r="G17" i="5" s="1"/>
  <c r="C20" i="55"/>
  <c r="I5" i="56"/>
  <c r="I4" i="56"/>
  <c r="I3" i="56"/>
  <c r="E20" i="56" s="1"/>
  <c r="I5" i="64"/>
  <c r="I4" i="64"/>
  <c r="I3" i="64"/>
  <c r="E20" i="64" s="1"/>
  <c r="A20" i="43"/>
  <c r="C20" i="43" s="1"/>
  <c r="A20" i="47"/>
  <c r="C20" i="47" s="1"/>
  <c r="A20" i="51"/>
  <c r="C20" i="51" s="1"/>
  <c r="A20" i="55"/>
  <c r="E3" i="58"/>
  <c r="I5" i="58"/>
  <c r="A20" i="59"/>
  <c r="C20" i="61"/>
  <c r="I5" i="62"/>
  <c r="A20" i="63"/>
  <c r="C20" i="63" s="1"/>
  <c r="I5" i="66"/>
  <c r="A20" i="67"/>
  <c r="C20" i="67" s="1"/>
  <c r="A20" i="38"/>
  <c r="C20" i="38" s="1"/>
  <c r="I12" i="38" s="1"/>
  <c r="I5" i="41"/>
  <c r="A20" i="42"/>
  <c r="C20" i="42" s="1"/>
  <c r="A20" i="46"/>
  <c r="C20" i="46" s="1"/>
  <c r="A20" i="50"/>
  <c r="C20" i="50" s="1"/>
  <c r="A20" i="54"/>
  <c r="C20" i="54" s="1"/>
  <c r="E20" i="58"/>
  <c r="H22" i="58"/>
  <c r="H23" i="58" s="1"/>
  <c r="E20" i="62"/>
  <c r="E3" i="62" s="1"/>
  <c r="E20" i="66"/>
  <c r="E3" i="66" s="1"/>
  <c r="H22" i="66"/>
  <c r="H23" i="66" s="1"/>
  <c r="A20" i="45"/>
  <c r="C20" i="45" s="1"/>
  <c r="A20" i="49"/>
  <c r="C20" i="49" s="1"/>
  <c r="A20" i="53"/>
  <c r="C20" i="53" s="1"/>
  <c r="A20" i="57"/>
  <c r="C20" i="57" s="1"/>
  <c r="A20" i="61"/>
  <c r="A20" i="65"/>
  <c r="C20" i="65" s="1"/>
  <c r="A20" i="69"/>
  <c r="C20" i="69" s="1"/>
  <c r="A20" i="40"/>
  <c r="C20" i="40" s="1"/>
  <c r="A20" i="48"/>
  <c r="C20" i="48" s="1"/>
  <c r="A20" i="52"/>
  <c r="C20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I6" i="72" l="1"/>
  <c r="I7" i="72"/>
  <c r="I4" i="41"/>
  <c r="I3" i="41"/>
  <c r="E20" i="41" s="1"/>
  <c r="I5" i="72"/>
  <c r="I10" i="38"/>
  <c r="I11" i="38"/>
  <c r="I8" i="38"/>
  <c r="I9" i="38"/>
  <c r="I6" i="38"/>
  <c r="I7" i="38"/>
  <c r="I8" i="75"/>
  <c r="I9" i="75"/>
  <c r="I6" i="75"/>
  <c r="I7" i="75"/>
  <c r="I10" i="74"/>
  <c r="I11" i="74"/>
  <c r="I8" i="74"/>
  <c r="I9" i="74"/>
  <c r="I6" i="74"/>
  <c r="I7" i="74"/>
  <c r="I8" i="73"/>
  <c r="I9" i="73"/>
  <c r="I6" i="73"/>
  <c r="I7" i="73"/>
  <c r="I4" i="72"/>
  <c r="I3" i="72"/>
  <c r="E20" i="72" s="1"/>
  <c r="I8" i="70"/>
  <c r="I9" i="70"/>
  <c r="I7" i="70"/>
  <c r="I6" i="70"/>
  <c r="I5" i="73"/>
  <c r="I4" i="73"/>
  <c r="I3" i="73"/>
  <c r="I3" i="75"/>
  <c r="I5" i="75"/>
  <c r="I4" i="75"/>
  <c r="H22" i="71"/>
  <c r="H23" i="71" s="1"/>
  <c r="E3" i="71"/>
  <c r="F11" i="5" s="1"/>
  <c r="G11" i="5" s="1"/>
  <c r="I4" i="74"/>
  <c r="I5" i="74"/>
  <c r="I3" i="74"/>
  <c r="I4" i="70"/>
  <c r="I5" i="70"/>
  <c r="I3" i="70"/>
  <c r="I3" i="53"/>
  <c r="E20" i="53" s="1"/>
  <c r="I5" i="53"/>
  <c r="I4" i="53"/>
  <c r="I5" i="51"/>
  <c r="I4" i="51"/>
  <c r="I3" i="51"/>
  <c r="E20" i="51" s="1"/>
  <c r="I5" i="48"/>
  <c r="I4" i="48"/>
  <c r="I3" i="48"/>
  <c r="E20" i="48" s="1"/>
  <c r="I3" i="65"/>
  <c r="E20" i="65" s="1"/>
  <c r="I5" i="65"/>
  <c r="I4" i="65"/>
  <c r="I3" i="49"/>
  <c r="E20" i="49" s="1"/>
  <c r="I5" i="49"/>
  <c r="I4" i="49"/>
  <c r="I5" i="63"/>
  <c r="I4" i="63"/>
  <c r="I3" i="63"/>
  <c r="E20" i="63"/>
  <c r="E3" i="63" s="1"/>
  <c r="I5" i="47"/>
  <c r="I4" i="47"/>
  <c r="I3" i="47"/>
  <c r="E20" i="47" s="1"/>
  <c r="H22" i="60"/>
  <c r="H23" i="60" s="1"/>
  <c r="E3" i="60"/>
  <c r="I3" i="69"/>
  <c r="E20" i="69" s="1"/>
  <c r="I5" i="69"/>
  <c r="I4" i="69"/>
  <c r="I4" i="42"/>
  <c r="E20" i="42" s="1"/>
  <c r="I3" i="42"/>
  <c r="I5" i="42"/>
  <c r="I3" i="45"/>
  <c r="E20" i="45" s="1"/>
  <c r="I5" i="45"/>
  <c r="I4" i="45"/>
  <c r="I4" i="50"/>
  <c r="E20" i="50" s="1"/>
  <c r="I3" i="50"/>
  <c r="I5" i="50"/>
  <c r="I4" i="38"/>
  <c r="I3" i="38"/>
  <c r="I5" i="38"/>
  <c r="E3" i="56"/>
  <c r="H22" i="56"/>
  <c r="H23" i="56" s="1"/>
  <c r="E3" i="68"/>
  <c r="H22" i="68"/>
  <c r="H23" i="68" s="1"/>
  <c r="I5" i="52"/>
  <c r="I4" i="52"/>
  <c r="I3" i="52"/>
  <c r="E20" i="52" s="1"/>
  <c r="E20" i="59"/>
  <c r="H22" i="59" s="1"/>
  <c r="H23" i="59" s="1"/>
  <c r="I5" i="40"/>
  <c r="I4" i="40"/>
  <c r="E20" i="40" s="1"/>
  <c r="I3" i="40"/>
  <c r="I3" i="57"/>
  <c r="I5" i="57"/>
  <c r="I4" i="57"/>
  <c r="E20" i="57"/>
  <c r="E3" i="57" s="1"/>
  <c r="I4" i="46"/>
  <c r="I3" i="46"/>
  <c r="I5" i="46"/>
  <c r="E20" i="46" s="1"/>
  <c r="I5" i="67"/>
  <c r="I4" i="67"/>
  <c r="I3" i="67"/>
  <c r="E20" i="67"/>
  <c r="E3" i="67" s="1"/>
  <c r="E3" i="64"/>
  <c r="H22" i="64"/>
  <c r="H23" i="64" s="1"/>
  <c r="H22" i="39"/>
  <c r="H23" i="39" s="1"/>
  <c r="I3" i="61"/>
  <c r="E20" i="61" s="1"/>
  <c r="I5" i="61"/>
  <c r="I4" i="61"/>
  <c r="H22" i="62"/>
  <c r="H23" i="62" s="1"/>
  <c r="I4" i="54"/>
  <c r="I3" i="54"/>
  <c r="E20" i="54" s="1"/>
  <c r="I5" i="54"/>
  <c r="I5" i="43"/>
  <c r="I4" i="43"/>
  <c r="I3" i="43"/>
  <c r="I5" i="55"/>
  <c r="I4" i="55"/>
  <c r="I3" i="55"/>
  <c r="E20" i="55" s="1"/>
  <c r="I5" i="59"/>
  <c r="E3" i="59"/>
  <c r="I4" i="59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3"/>
  <c r="H23" i="23" s="1"/>
  <c r="H22" i="26"/>
  <c r="H23" i="26" s="1"/>
  <c r="H22" i="41" l="1"/>
  <c r="H23" i="41" s="1"/>
  <c r="E3" i="41"/>
  <c r="F19" i="5" s="1"/>
  <c r="G19" i="5" s="1"/>
  <c r="E3" i="72"/>
  <c r="F12" i="5" s="1"/>
  <c r="G12" i="5" s="1"/>
  <c r="H22" i="72"/>
  <c r="H23" i="72" s="1"/>
  <c r="E20" i="38"/>
  <c r="H22" i="38" s="1"/>
  <c r="H23" i="38" s="1"/>
  <c r="E20" i="75"/>
  <c r="H22" i="75" s="1"/>
  <c r="H23" i="75" s="1"/>
  <c r="E20" i="74"/>
  <c r="H22" i="74" s="1"/>
  <c r="H23" i="74" s="1"/>
  <c r="E20" i="73"/>
  <c r="E3" i="73" s="1"/>
  <c r="F13" i="5" s="1"/>
  <c r="G13" i="5" s="1"/>
  <c r="E20" i="70"/>
  <c r="E3" i="70" s="1"/>
  <c r="F10" i="5" s="1"/>
  <c r="G10" i="5" s="1"/>
  <c r="H22" i="50"/>
  <c r="H23" i="50" s="1"/>
  <c r="E3" i="50"/>
  <c r="H22" i="49"/>
  <c r="H23" i="49" s="1"/>
  <c r="E3" i="49"/>
  <c r="H22" i="53"/>
  <c r="H23" i="53" s="1"/>
  <c r="E3" i="53"/>
  <c r="H22" i="40"/>
  <c r="H23" i="40" s="1"/>
  <c r="E3" i="40"/>
  <c r="F18" i="5" s="1"/>
  <c r="G18" i="5" s="1"/>
  <c r="H22" i="42"/>
  <c r="H23" i="42" s="1"/>
  <c r="E3" i="42"/>
  <c r="F20" i="5" s="1"/>
  <c r="G20" i="5" s="1"/>
  <c r="E3" i="52"/>
  <c r="H22" i="52"/>
  <c r="H23" i="52" s="1"/>
  <c r="E3" i="69"/>
  <c r="H22" i="69"/>
  <c r="H23" i="69" s="1"/>
  <c r="H22" i="48"/>
  <c r="H23" i="48" s="1"/>
  <c r="E3" i="48"/>
  <c r="H22" i="61"/>
  <c r="H23" i="61" s="1"/>
  <c r="E3" i="61"/>
  <c r="E3" i="46"/>
  <c r="H22" i="46"/>
  <c r="H23" i="46" s="1"/>
  <c r="H22" i="55"/>
  <c r="H23" i="55" s="1"/>
  <c r="E3" i="55"/>
  <c r="H22" i="54"/>
  <c r="H23" i="54" s="1"/>
  <c r="E3" i="54"/>
  <c r="H22" i="45"/>
  <c r="H23" i="45" s="1"/>
  <c r="E3" i="45"/>
  <c r="H22" i="47"/>
  <c r="H23" i="47" s="1"/>
  <c r="E3" i="47"/>
  <c r="E3" i="65"/>
  <c r="H22" i="65"/>
  <c r="H23" i="65" s="1"/>
  <c r="H22" i="51"/>
  <c r="H23" i="51" s="1"/>
  <c r="E3" i="51"/>
  <c r="E20" i="43"/>
  <c r="H22" i="67"/>
  <c r="H23" i="67" s="1"/>
  <c r="H22" i="63"/>
  <c r="H23" i="63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E3" i="38" l="1"/>
  <c r="F16" i="5" s="1"/>
  <c r="G16" i="5" s="1"/>
  <c r="E3" i="75"/>
  <c r="F15" i="5" s="1"/>
  <c r="G15" i="5" s="1"/>
  <c r="E3" i="74"/>
  <c r="F14" i="5" s="1"/>
  <c r="G14" i="5" s="1"/>
  <c r="H22" i="73"/>
  <c r="H23" i="73" s="1"/>
  <c r="H22" i="70"/>
  <c r="H23" i="70" s="1"/>
  <c r="E3" i="43"/>
  <c r="F21" i="5" s="1"/>
  <c r="G21" i="5" s="1"/>
  <c r="H22" i="43"/>
  <c r="H23" i="43" s="1"/>
  <c r="G23" i="5" l="1"/>
</calcChain>
</file>

<file path=xl/sharedStrings.xml><?xml version="1.0" encoding="utf-8"?>
<sst xmlns="http://schemas.openxmlformats.org/spreadsheetml/2006/main" count="1628" uniqueCount="158">
  <si>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</si>
  <si>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</si>
  <si>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</si>
  <si>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</si>
  <si>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</si>
  <si>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</si>
  <si>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</si>
  <si>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</si>
  <si>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</si>
  <si>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</si>
  <si>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</si>
  <si>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</si>
  <si>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</si>
  <si>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</si>
  <si>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</si>
  <si>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</si>
  <si>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</si>
  <si>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</si>
  <si>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</si>
  <si>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</si>
  <si>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</si>
  <si>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</si>
  <si>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</si>
  <si>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</si>
  <si>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</si>
  <si>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</si>
  <si>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</si>
  <si>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</si>
  <si>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</si>
  <si>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</si>
  <si>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</si>
  <si>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</si>
  <si>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</si>
  <si>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</si>
  <si>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</si>
  <si>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</si>
  <si>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NÃO ALTERE AS FÓRMULAS LTDA</t>
  </si>
  <si>
    <t>NÃO MUDE A ALTURA DAS LINHAS S.A</t>
  </si>
  <si>
    <t>NÃO MUDE AS CORES LTDA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</si>
  <si>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</si>
  <si>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</si>
  <si>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</si>
  <si>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</si>
  <si>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</si>
  <si>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</si>
  <si>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</si>
  <si>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</si>
  <si>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</si>
  <si>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9</t>
  </si>
  <si>
    <t>ITEM 10</t>
  </si>
  <si>
    <t>ITEM 11</t>
  </si>
  <si>
    <t>ITEM 12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</si>
  <si>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</si>
  <si>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</si>
  <si>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</si>
  <si>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</si>
  <si>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</si>
  <si>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</si>
  <si>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</si>
  <si>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</si>
  <si>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</si>
  <si>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</si>
  <si>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</si>
  <si>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</si>
  <si>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</si>
  <si>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</si>
  <si>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</si>
  <si>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</si>
  <si>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</si>
  <si>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</si>
  <si>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</si>
  <si>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</si>
  <si>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</si>
  <si>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</si>
  <si>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</si>
  <si>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</si>
  <si>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</si>
  <si>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</si>
  <si>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</si>
  <si>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</si>
  <si>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</si>
  <si>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</si>
  <si>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</si>
  <si>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</si>
  <si>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</si>
  <si>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</si>
  <si>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</si>
  <si>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</si>
  <si>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</si>
  <si>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 xml:space="preserve">PCX LIRA MARCENARIA REFORMAS E CONSTRUCOES </t>
  </si>
  <si>
    <t>LMX DO BRASIL COMERCIO DE UTILIDADES LTDA</t>
  </si>
  <si>
    <t xml:space="preserve">F. F. N. FORNAZARI </t>
  </si>
  <si>
    <t xml:space="preserve">MMV PAPELARIA LTDA </t>
  </si>
  <si>
    <t>ADVANCED COMERCIO DE EQUIPAMENTOS LTDA</t>
  </si>
  <si>
    <t xml:space="preserve">WHITE BOARD IMPORT COMERCIO E SERVICOS LTDA </t>
  </si>
  <si>
    <t xml:space="preserve">G.R CARNEIRO LTDA </t>
  </si>
  <si>
    <t xml:space="preserve">RICPEL COMERCIO E DISTRIBUIDORA LTDA </t>
  </si>
  <si>
    <t xml:space="preserve">EASYTECH INFORMATICA E SERVICOS LTDA </t>
  </si>
  <si>
    <t xml:space="preserve">IRMAOS ANDRADE DA ALDEIA MATERIAIS DE CONSTRUCAO LTDA </t>
  </si>
  <si>
    <t>TEIXEIRA MATERIAL DE CONSTRUCAO LTDA</t>
  </si>
  <si>
    <t xml:space="preserve">4A COMERCIO ATACADISTA DE MATERIAIS DE CONSTRUCAO LTDA </t>
  </si>
  <si>
    <t xml:space="preserve">MJS DISTRIBUIDORA LTDA </t>
  </si>
  <si>
    <t xml:space="preserve">JSL COMERCIO DE MATERIAL DE EXPEDIENTE LTDA </t>
  </si>
  <si>
    <t xml:space="preserve">INFANTARIA COMERCIAL LTDA </t>
  </si>
  <si>
    <t xml:space="preserve">TUBAROES ARMAZENS LOGISTICOS LTDA </t>
  </si>
  <si>
    <t xml:space="preserve">PAPERFLEX COMERCIAL LTDA </t>
  </si>
  <si>
    <t xml:space="preserve">PAPELARIA IMPERATRIZ LTDA </t>
  </si>
  <si>
    <t xml:space="preserve">CENTRA MOVEIS S/A </t>
  </si>
  <si>
    <t xml:space="preserve">S R F SANTOS LTDA </t>
  </si>
  <si>
    <t xml:space="preserve">MV COMERCIO LTDA </t>
  </si>
  <si>
    <t xml:space="preserve">KM INDUSTRIA E COMERCIO DE MOVEIS LTDA </t>
  </si>
  <si>
    <t xml:space="preserve">RENATO FONTANA </t>
  </si>
  <si>
    <t xml:space="preserve">SOMA SOLUCOES CORPORATIVAS LTDA </t>
  </si>
  <si>
    <t xml:space="preserve">HEIBER COMERCIO ELETRONICO LTDA </t>
  </si>
  <si>
    <t xml:space="preserve">JWS MONTAGENS E INSTALACOES INDUSTRIAIS LTDA </t>
  </si>
  <si>
    <t xml:space="preserve">SANDRA REGINA MAZZO </t>
  </si>
  <si>
    <t xml:space="preserve">JUCELIA NOBREGA </t>
  </si>
  <si>
    <t>ARYEL AUGUSTO DE MARCHI</t>
  </si>
  <si>
    <t>DELTA DISTRIBUIDORA E SERVICOS LTDA</t>
  </si>
  <si>
    <t xml:space="preserve">ACAO E REACAO AUTOPECAS COMERCIO LTDA </t>
  </si>
  <si>
    <t>OP QUIRINO DISTRIBUIDORA DE PRODUTOS HOSPITALARES LTDA</t>
  </si>
  <si>
    <t xml:space="preserve">BLACK T-SHIRT COMERCIO E REPRESENTACAO LTDA </t>
  </si>
  <si>
    <t>R.A. MARTINS - DISTRIBUIDORA LTDA</t>
  </si>
  <si>
    <t xml:space="preserve">M&amp;E PRODUTOS HOSPITALARES, MEDICOS E ODONTOLOGICOS LTDA </t>
  </si>
  <si>
    <t xml:space="preserve">CWBCARE PRODUTOS MEDICO HOSPITALARES LTDA </t>
  </si>
  <si>
    <t xml:space="preserve">HAND SHOP SUPRIMENTOS MEDICOS E TERAPEUTICOS LTDA </t>
  </si>
  <si>
    <t xml:space="preserve">RESILIRE S F COMERCIO LTDA </t>
  </si>
  <si>
    <t>S2 SAUDE LTDA</t>
  </si>
  <si>
    <t xml:space="preserve">VISAMED COMERCIO DE MATERIAL HOSPITALAR EIRELI </t>
  </si>
  <si>
    <t>YRLEI BARBOSA DA SILVA</t>
  </si>
  <si>
    <t>HOMEOFFICE MOVEIS LTDA - PE 01/2023</t>
  </si>
  <si>
    <t>FORMESPACO MOVEIS E INSTAL PE01/2023</t>
  </si>
  <si>
    <t>VLA POZZI COM DE MOVEIS LTDA PE01/2023</t>
  </si>
  <si>
    <t>ERGON MOBILE</t>
  </si>
  <si>
    <t>RIQ MOVEIS</t>
  </si>
  <si>
    <t>I9FLEX MOVEIS PARA ESCRITORIO</t>
  </si>
  <si>
    <t>ERGON MOBILE - proposta</t>
  </si>
  <si>
    <t>KIVER - proposta</t>
  </si>
  <si>
    <t>IDESAN - proposta</t>
  </si>
  <si>
    <t>ITEM 13</t>
  </si>
  <si>
    <t>Lote</t>
  </si>
  <si>
    <t>Valor Total do Lote</t>
  </si>
  <si>
    <t>Valor Total do Item</t>
  </si>
  <si>
    <t xml:space="preserve">ESCADA 08 DEGRAUS, com as seguintes especificações:  Escada de abrir em alumínio com 8 degraus;  Abertura em “A”;  Estrutura da escada e dos degraus, inclusive do patamar superior: 100% alumínio;  Capacidade para suportar no mínimo 120 Kg;  Degraus e patamar antiderrapantes;  Trava ou fita de segurança contra abertura excessiva em ambos os lados;  Patamar largo, com travamento automático;  Alça de apoio para as mãos na parte superior;  Pés/sapatas antiderrapantes; </t>
  </si>
  <si>
    <t xml:space="preserve">CADEIRA FIXA SEM BRAÇO, com as seguintes especificações:  Assento e encosto produzido em polipropileno na cor branca.  Pernas em aço com acabamento cromado ou em pintura eletroestática na cor cinza, com tratamento anticorrosivo e com pés e/ou sapatas antiderrapantes.
 Medindo 51 cm (comprimento), 52 cm (largura) e 84 cm (altura) admitindo-se variações de ±3 cm no comprimento e na largura e ±4 cm na altura.  Resistente à carga estática de no mínimo 140 kg. </t>
  </si>
  <si>
    <t xml:space="preserve">GRADIS DE CONTENÇÃO DE PÚBLICO, com as seguintes especificações:  Altura de 1,2 metros e 2 metros de comprimento admitindo-se variações de 0,1 metros.  Cor prata  Estrutura em tubo estrutural  Pés de Apoio Fixo em tubo estrutural.  Acabamento Galvanizado  Trava Encaixe laminado </t>
  </si>
  <si>
    <t xml:space="preserve">CADEIRA DE RODAS, com as seguintes especificações:  Funcionamento manual  Fabricada em aço carbono  Estofamento em nylon  Estrutura dobrável em formato x  Sistema de freios bilaterais reguláveis  Rodas dianteiras de 6” maciças  Rodas traseiras de 24”, injetadas em nylon com pneus maciços  Apoio para os braços fixos e apoio para os pés removível ou retrátil  Apoio para panturrilha  Capacidade mínima para 90 kg.  Largura mínima do assento de 40 cm </t>
  </si>
  <si>
    <t xml:space="preserve">ESTAÇÃO DE ATENDIMENTO ANTEDIMENTO, com as seguintes especificações:  Com 3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A.1.
Todos os itens do lote devem seguir o mesmo padrão em relação a tonalidade das cores ,padrão de construção e textura dos materiais </t>
  </si>
  <si>
    <t>ESTAÇÃO DE ATENDIMENTO ANTEDIMENTO, com as seguintes especificações:  Com 6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  O produto deve ser fornecido considerando todas as especificações acima elencadas assim como as especificadas no projeto constante do Anexo A.1
Todos os itens do lote devem seguir o mesmo padrão em relação a tonalidade das cores ,padrão de construção e textura dos materiais</t>
  </si>
  <si>
    <t>ESTAÇÃO DE ATENDIMENTO ANTEDIMENTO, com as seguintes especificações:  Com 8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</t>
  </si>
  <si>
    <t xml:space="preserve">ESTAÇÃO DE ATENDIMENTO ANTEDIMENTO, com as seguintes especificações:  Com 4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Todos os itens do lote devem seguir o mesmo padrão em relação a tonalidade das cores ,padrão de construção e textura dos materiais </t>
  </si>
  <si>
    <t xml:space="preserve">MESA AUXILIAR, com as seguintes especificações: • Tampo único em MDP ou MDF, espessura de 25 mm, admitindo-se variação de ± 5 mm, revestido em ambas as faces com laminado melamínico na cor argila, bege ou marfim; • Bordas retas em termoplástico, na cor do tampo, espessura mínima de 2 mm; • Painel frontal, espessura de 20 mm, admitindo-se variação de ± 5 mm, revestido em ambas as faces com laminado melamínico na cor do tampo ou cinza; • Dimensões: 800 mm x 600 mm x 735 mm (lxpxh), admitidas variações de +100 mm para largura, e ±50 mm para profundidade e de ±5 mm para altura; • Estruturas laterais metálicas, com calha vertical metálica para passagem de fiação, pintadas em epóxi-pó por processo eletrostático na cor cinza ou preta; • Tratamento anti-corrosivo à base de fosfato de zinco;  Todos os componentes metálicos aparentes em cor cinza ou preta; - Sapatas reguladoras de nível em nylon ou polímero resistente; - Saída de cabeamento da parte inferior para a superior com tampa removível, produzida com divisores que permitam a individualização dos circuitos; - Calha horizontal para cabeamento sob o tampo. </t>
  </si>
  <si>
    <t xml:space="preserve">QUADRO DE AVISO, com as seguintes especificações:  Confeccionado em cortiça ou Celotex revestido com feltro na cor azul ou verde;  Moldura em alumínio, dotada de furos ou dispositivo para fixação em parede;  Dimensões podendo variar de: 1.000 mm a 1.200 mm (largura) x 800 mm a 900 mm (altura); </t>
  </si>
  <si>
    <t>APOIO ERGONÔMICO PARA OS PÉS, com as seguintes especificações: Base (apoio para os pés) confeccionada em plástico de alta resistência e antiderrapante;  Cor preta;  O apoio para os pés não devem apresentar quinas vivas;  Estrutura tubular metálica  Com pés e/ou sapatas antiderrapantes;
 Dimensões da base podendo variar: 400 a 510 mm (largura) e 280 a 420 mm (profundidade);
 Inclinação ajustável</t>
  </si>
  <si>
    <t xml:space="preserve">ESTAÇÃO DE ATENDIMENTO ANTEDIMENTO, com as seguintes especificações:  Com 5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 Todos os itens do lote devem seguir o mesmo padrão em relação a tonalidade das cores ,padrão de construção e textura dos materiais </t>
  </si>
  <si>
    <t xml:space="preserve">
LOTE 1    (itens 8 a 12)</t>
  </si>
  <si>
    <t xml:space="preserve">N. A. </t>
  </si>
  <si>
    <t xml:space="preserve">ITEM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</si>
</sst>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91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3" fillId="0" borderId="3" xfId="0" applyFont="1" applyBorder="1" applyAlignment="1" applyProtection="1">
      <alignment wrapText="1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44" fontId="11" fillId="9" borderId="7" xfId="12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2" fillId="9" borderId="17" xfId="0" applyFont="1" applyFill="1" applyBorder="1" applyAlignment="1">
      <alignment horizontal="center" vertical="top" wrapText="1"/>
    </xf>
    <xf numFmtId="44" fontId="12" fillId="9" borderId="21" xfId="12" applyFont="1" applyFill="1" applyBorder="1" applyAlignment="1">
      <alignment horizontal="center" vertical="top" wrapText="1"/>
    </xf>
    <xf numFmtId="44" fontId="12" fillId="9" borderId="22" xfId="12" applyFont="1" applyFill="1" applyBorder="1" applyAlignment="1">
      <alignment horizontal="center" vertical="top" wrapText="1"/>
    </xf>
    <xf numFmtId="44" fontId="12" fillId="9" borderId="23" xfId="12" applyFont="1" applyFill="1" applyBorder="1" applyAlignment="1">
      <alignment horizontal="center" vertical="top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2962275</xdr:colOff>
      <xdr:row>0</xdr:row>
      <xdr:rowOff>0</xdr:rowOff>
    </xdr:from>
    <xdr:to>
      <xdr:col>3</xdr:col>
      <xdr:colOff>104775</xdr:colOff>
      <xdr:row>6</xdr:row>
      <xdr:rowOff>144417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0"/>
          <a:ext cx="2933700" cy="1115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151</v>
      </c>
      <c r="C3" s="59" t="s">
        <v>8</v>
      </c>
      <c r="D3" s="62">
        <v>50</v>
      </c>
      <c r="E3" s="65">
        <f>IF(C20&lt;=25%,D20,MIN(E20:F20))</f>
        <v>1084.9100000000001</v>
      </c>
      <c r="F3" s="65">
        <f>MIN(H3:H17)</f>
        <v>839.40370799999994</v>
      </c>
      <c r="G3" s="4" t="s">
        <v>130</v>
      </c>
      <c r="H3" s="13">
        <f>815*1.0299432</f>
        <v>839.40370799999994</v>
      </c>
      <c r="I3" s="29">
        <f>IF(H3="","",(IF($C$20&lt;25%,"N/A",IF(H3&lt;=($D$20+$A$20),H3,"Descartado"))))</f>
        <v>839.40370799999994</v>
      </c>
    </row>
    <row r="4" spans="1:9">
      <c r="A4" s="55"/>
      <c r="B4" s="57"/>
      <c r="C4" s="60"/>
      <c r="D4" s="63"/>
      <c r="E4" s="66"/>
      <c r="F4" s="66"/>
      <c r="G4" s="46" t="s">
        <v>131</v>
      </c>
      <c r="H4" s="13">
        <f>1250*1.0299432</f>
        <v>1287.4289999999999</v>
      </c>
      <c r="I4" s="29">
        <f t="shared" ref="I4:I17" si="0">IF(H4="","",(IF($C$20&lt;25%,"N/A",IF(H4&lt;=($D$20+$A$20),H4,"Descartado"))))</f>
        <v>1287.4289999999999</v>
      </c>
    </row>
    <row r="5" spans="1:9">
      <c r="A5" s="55"/>
      <c r="B5" s="57"/>
      <c r="C5" s="60"/>
      <c r="D5" s="63"/>
      <c r="E5" s="66"/>
      <c r="F5" s="66"/>
      <c r="G5" s="4" t="s">
        <v>132</v>
      </c>
      <c r="H5" s="13">
        <f>1627.5*1.0299432</f>
        <v>1676.2325579999999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 t="s">
        <v>133</v>
      </c>
      <c r="H6" s="13">
        <v>1127.9000000000001</v>
      </c>
      <c r="I6" s="29">
        <f t="shared" si="0"/>
        <v>1127.9000000000001</v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348.98968462298967</v>
      </c>
      <c r="B20" s="19">
        <f>COUNT(H3:H17)</f>
        <v>4</v>
      </c>
      <c r="C20" s="20">
        <f>IF(B20&lt;2,"N/A",(A20/D20))</f>
        <v>0.28310080359442352</v>
      </c>
      <c r="D20" s="21">
        <f>ROUND(AVERAGE(H3:H17),2)</f>
        <v>1232.74</v>
      </c>
      <c r="E20" s="22">
        <f>IFERROR(ROUND(IF(B20&lt;2,"N/A",(IF(C20&lt;=25%,"N/A",AVERAGE(I3:I17)))),2),"N/A")</f>
        <v>1084.9100000000001</v>
      </c>
      <c r="F20" s="22">
        <f>ROUND(MEDIAN(H3:H17),2)</f>
        <v>1207.6600000000001</v>
      </c>
      <c r="G20" s="23" t="str">
        <f>INDEX(G3:G17,MATCH(H20,H3:H17,0))</f>
        <v>HOMEOFFICE MOVEIS LTDA - PE 01/2023</v>
      </c>
      <c r="H20" s="24">
        <f>MIN(H3:H17)</f>
        <v>839.40370799999994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1084.9100000000001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54245.500000000007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154</v>
      </c>
      <c r="C3" s="59" t="s">
        <v>8</v>
      </c>
      <c r="D3" s="62">
        <v>5</v>
      </c>
      <c r="E3" s="65">
        <f>IF(C20&lt;=25%,D20,MIN(E20:F20))</f>
        <v>7215.45</v>
      </c>
      <c r="F3" s="65">
        <f>MIN(H3:H17)</f>
        <v>2283</v>
      </c>
      <c r="G3" s="4" t="s">
        <v>133</v>
      </c>
      <c r="H3" s="13">
        <v>12147.9</v>
      </c>
      <c r="I3" s="29">
        <f>IF(H3="","",(IF($C$20&lt;25%,"N/A",IF(H3&lt;=($D$20+$A$20),H3,"Descartado"))))</f>
        <v>12147.9</v>
      </c>
    </row>
    <row r="4" spans="1:9">
      <c r="A4" s="55"/>
      <c r="B4" s="57"/>
      <c r="C4" s="60"/>
      <c r="D4" s="63"/>
      <c r="E4" s="66"/>
      <c r="F4" s="66"/>
      <c r="G4" s="4" t="s">
        <v>135</v>
      </c>
      <c r="H4" s="13">
        <v>2283</v>
      </c>
      <c r="I4" s="29">
        <f t="shared" ref="I4:I17" si="0">IF(H4="","",(IF($C$20&lt;25%,"N/A",IF(H4&lt;=($D$20+$A$20),H4,"Descartado"))))</f>
        <v>2283</v>
      </c>
    </row>
    <row r="5" spans="1:9">
      <c r="A5" s="55"/>
      <c r="B5" s="57"/>
      <c r="C5" s="60"/>
      <c r="D5" s="63"/>
      <c r="E5" s="66"/>
      <c r="F5" s="66"/>
      <c r="G5" s="4"/>
      <c r="H5" s="13"/>
      <c r="I5" s="29" t="str">
        <f t="shared" si="0"/>
        <v/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6975.5376857271722</v>
      </c>
      <c r="B20" s="19">
        <f>COUNT(H3:H17)</f>
        <v>2</v>
      </c>
      <c r="C20" s="20">
        <f>IF(B20&lt;2,"N/A",(A20/D20))</f>
        <v>0.96675019378239369</v>
      </c>
      <c r="D20" s="21">
        <f>ROUND(AVERAGE(H3:H17),2)</f>
        <v>7215.45</v>
      </c>
      <c r="E20" s="22">
        <f>IFERROR(ROUND(IF(B20&lt;2,"N/A",(IF(C20&lt;=25%,"N/A",AVERAGE(I3:I17)))),2),"N/A")</f>
        <v>7215.45</v>
      </c>
      <c r="F20" s="22">
        <f>ROUND(MEDIAN(H3:H17),2)</f>
        <v>7215.45</v>
      </c>
      <c r="G20" s="23" t="str">
        <f>INDEX(G3:G17,MATCH(H20,H3:H17,0))</f>
        <v>I9FLEX MOVEIS PARA ESCRITORIO</v>
      </c>
      <c r="H20" s="24">
        <f>MIN(H3:H17)</f>
        <v>2283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7215.45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36077.25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148</v>
      </c>
      <c r="C3" s="59" t="s">
        <v>8</v>
      </c>
      <c r="D3" s="62">
        <v>5</v>
      </c>
      <c r="E3" s="65">
        <f>IF(C20&lt;=25%,D20,MIN(E20:F20))</f>
        <v>8491.9500000000007</v>
      </c>
      <c r="F3" s="65">
        <f>MIN(H3:H17)</f>
        <v>2700</v>
      </c>
      <c r="G3" s="4" t="s">
        <v>133</v>
      </c>
      <c r="H3" s="13">
        <v>14283.9</v>
      </c>
      <c r="I3" s="29">
        <f>IF(H3="","",(IF($C$20&lt;25%,"N/A",IF(H3&lt;=($D$20+$A$20),H3,"Descartado"))))</f>
        <v>14283.9</v>
      </c>
    </row>
    <row r="4" spans="1:9">
      <c r="A4" s="55"/>
      <c r="B4" s="57"/>
      <c r="C4" s="60"/>
      <c r="D4" s="63"/>
      <c r="E4" s="66"/>
      <c r="F4" s="66"/>
      <c r="G4" s="4" t="s">
        <v>135</v>
      </c>
      <c r="H4" s="13">
        <v>2700</v>
      </c>
      <c r="I4" s="29">
        <f t="shared" ref="I4:I17" si="0">IF(H4="","",(IF($C$20&lt;25%,"N/A",IF(H4&lt;=($D$20+$A$20),H4,"Descartado"))))</f>
        <v>2700</v>
      </c>
    </row>
    <row r="5" spans="1:9">
      <c r="A5" s="55"/>
      <c r="B5" s="57"/>
      <c r="C5" s="60"/>
      <c r="D5" s="63"/>
      <c r="E5" s="66"/>
      <c r="F5" s="66"/>
      <c r="G5" s="4"/>
      <c r="H5" s="13"/>
      <c r="I5" s="29" t="str">
        <f t="shared" si="0"/>
        <v/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8191.0542425868452</v>
      </c>
      <c r="B20" s="19">
        <f>COUNT(H3:H17)</f>
        <v>2</v>
      </c>
      <c r="C20" s="20">
        <f>IF(B20&lt;2,"N/A",(A20/D20))</f>
        <v>0.96456694193758141</v>
      </c>
      <c r="D20" s="21">
        <f>ROUND(AVERAGE(H3:H17),2)</f>
        <v>8491.9500000000007</v>
      </c>
      <c r="E20" s="22">
        <f>IFERROR(ROUND(IF(B20&lt;2,"N/A",(IF(C20&lt;=25%,"N/A",AVERAGE(I3:I17)))),2),"N/A")</f>
        <v>8491.9500000000007</v>
      </c>
      <c r="F20" s="22">
        <f>ROUND(MEDIAN(H3:H17),2)</f>
        <v>8491.9500000000007</v>
      </c>
      <c r="G20" s="23" t="str">
        <f>INDEX(G3:G17,MATCH(H20,H3:H17,0))</f>
        <v>I9FLEX MOVEIS PARA ESCRITORIO</v>
      </c>
      <c r="H20" s="24">
        <f>MIN(H3:H17)</f>
        <v>2700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8491.9500000000007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42459.75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32" sqref="A32:I3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149</v>
      </c>
      <c r="C3" s="59" t="s">
        <v>8</v>
      </c>
      <c r="D3" s="62">
        <v>5</v>
      </c>
      <c r="E3" s="65">
        <f>IF(C20&lt;=25%,D20,MIN(E20:F20))</f>
        <v>6551.68</v>
      </c>
      <c r="F3" s="65">
        <f>MIN(H3:H17)</f>
        <v>3534</v>
      </c>
      <c r="G3" s="4" t="s">
        <v>133</v>
      </c>
      <c r="H3" s="13">
        <v>18554.900000000001</v>
      </c>
      <c r="I3" s="29" t="str">
        <f>IF(H3="","",(IF($C$20&lt;25%,"N/A",IF(H3&lt;=($D$20+$A$20),H3,"Descartado"))))</f>
        <v>Descartado</v>
      </c>
    </row>
    <row r="4" spans="1:9">
      <c r="A4" s="55"/>
      <c r="B4" s="57"/>
      <c r="C4" s="60"/>
      <c r="D4" s="63"/>
      <c r="E4" s="66"/>
      <c r="F4" s="66"/>
      <c r="G4" s="4" t="s">
        <v>134</v>
      </c>
      <c r="H4" s="13">
        <v>9569.35</v>
      </c>
      <c r="I4" s="29">
        <f t="shared" ref="I4:I17" si="0">IF(H4="","",(IF($C$20&lt;25%,"N/A",IF(H4&lt;=($D$20+$A$20),H4,"Descartado"))))</f>
        <v>9569.35</v>
      </c>
    </row>
    <row r="5" spans="1:9">
      <c r="A5" s="55"/>
      <c r="B5" s="57"/>
      <c r="C5" s="60"/>
      <c r="D5" s="63"/>
      <c r="E5" s="66"/>
      <c r="F5" s="66"/>
      <c r="G5" s="4" t="s">
        <v>135</v>
      </c>
      <c r="H5" s="13">
        <v>3534</v>
      </c>
      <c r="I5" s="29">
        <f t="shared" si="0"/>
        <v>3534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7558.5822660403737</v>
      </c>
      <c r="B20" s="19">
        <f>COUNT(H3:H17)</f>
        <v>3</v>
      </c>
      <c r="C20" s="20">
        <f>IF(B20&lt;2,"N/A",(A20/D20))</f>
        <v>0.71626659079769484</v>
      </c>
      <c r="D20" s="21">
        <f>ROUND(AVERAGE(H3:H17),2)</f>
        <v>10552.75</v>
      </c>
      <c r="E20" s="22">
        <f>IFERROR(ROUND(IF(B20&lt;2,"N/A",(IF(C20&lt;=25%,"N/A",AVERAGE(I3:I17)))),2),"N/A")</f>
        <v>6551.68</v>
      </c>
      <c r="F20" s="22">
        <f>ROUND(MEDIAN(H3:H17),2)</f>
        <v>9569.35</v>
      </c>
      <c r="G20" s="23" t="str">
        <f>INDEX(G3:G17,MATCH(H20,H3:H17,0))</f>
        <v>I9FLEX MOVEIS PARA ESCRITORIO</v>
      </c>
      <c r="H20" s="24">
        <f>MIN(H3:H17)</f>
        <v>3534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6551.68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32758.400000000001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139</v>
      </c>
      <c r="B2" s="47" t="s">
        <v>24</v>
      </c>
      <c r="C2" s="47" t="s">
        <v>1</v>
      </c>
      <c r="D2" s="47" t="s">
        <v>2</v>
      </c>
      <c r="E2" s="14" t="s">
        <v>32</v>
      </c>
      <c r="F2" s="14" t="s">
        <v>33</v>
      </c>
      <c r="G2" s="47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146</v>
      </c>
      <c r="C3" s="59" t="s">
        <v>8</v>
      </c>
      <c r="D3" s="62">
        <v>60</v>
      </c>
      <c r="E3" s="65">
        <f>IF(C20&lt;=25%,D20,MIN(E20:F20))</f>
        <v>1202.58</v>
      </c>
      <c r="F3" s="65">
        <f>MIN(H3:H17)</f>
        <v>514</v>
      </c>
      <c r="G3" s="4" t="s">
        <v>120</v>
      </c>
      <c r="H3" s="13">
        <v>1269</v>
      </c>
      <c r="I3" s="29">
        <f>IF(H3="","",(IF($C$20&lt;25%,"N/A",IF(H3&lt;=($D$20+$A$20),H3,"Descartado"))))</f>
        <v>1269</v>
      </c>
    </row>
    <row r="4" spans="1:9">
      <c r="A4" s="55"/>
      <c r="B4" s="57"/>
      <c r="C4" s="60"/>
      <c r="D4" s="63"/>
      <c r="E4" s="66"/>
      <c r="F4" s="66"/>
      <c r="G4" s="4" t="s">
        <v>121</v>
      </c>
      <c r="H4" s="13">
        <v>514</v>
      </c>
      <c r="I4" s="29">
        <f t="shared" ref="I4:I17" si="0">IF(H4="","",(IF($C$20&lt;25%,"N/A",IF(H4&lt;=($D$20+$A$20),H4,"Descartado"))))</f>
        <v>514</v>
      </c>
    </row>
    <row r="5" spans="1:9">
      <c r="A5" s="55"/>
      <c r="B5" s="57"/>
      <c r="C5" s="60"/>
      <c r="D5" s="63"/>
      <c r="E5" s="66"/>
      <c r="F5" s="66"/>
      <c r="G5" s="4" t="s">
        <v>122</v>
      </c>
      <c r="H5" s="13">
        <v>2099</v>
      </c>
      <c r="I5" s="29">
        <f t="shared" si="0"/>
        <v>2099</v>
      </c>
    </row>
    <row r="6" spans="1:9">
      <c r="A6" s="55"/>
      <c r="B6" s="57"/>
      <c r="C6" s="60"/>
      <c r="D6" s="63"/>
      <c r="E6" s="66"/>
      <c r="F6" s="66"/>
      <c r="G6" s="4" t="s">
        <v>123</v>
      </c>
      <c r="H6" s="13">
        <v>750</v>
      </c>
      <c r="I6" s="29">
        <f t="shared" si="0"/>
        <v>750</v>
      </c>
    </row>
    <row r="7" spans="1:9">
      <c r="A7" s="55"/>
      <c r="B7" s="57"/>
      <c r="C7" s="60"/>
      <c r="D7" s="63"/>
      <c r="E7" s="66"/>
      <c r="F7" s="66"/>
      <c r="G7" s="4" t="s">
        <v>124</v>
      </c>
      <c r="H7" s="13">
        <v>516</v>
      </c>
      <c r="I7" s="29">
        <f t="shared" si="0"/>
        <v>516</v>
      </c>
    </row>
    <row r="8" spans="1:9">
      <c r="A8" s="55"/>
      <c r="B8" s="57"/>
      <c r="C8" s="60"/>
      <c r="D8" s="63"/>
      <c r="E8" s="66"/>
      <c r="F8" s="66"/>
      <c r="G8" s="4" t="s">
        <v>125</v>
      </c>
      <c r="H8" s="13">
        <v>1846.83</v>
      </c>
      <c r="I8" s="29">
        <f t="shared" si="0"/>
        <v>1846.83</v>
      </c>
    </row>
    <row r="9" spans="1:9">
      <c r="A9" s="55"/>
      <c r="B9" s="57"/>
      <c r="C9" s="60"/>
      <c r="D9" s="63"/>
      <c r="E9" s="66"/>
      <c r="F9" s="66"/>
      <c r="G9" s="4" t="s">
        <v>126</v>
      </c>
      <c r="H9" s="13">
        <v>1137</v>
      </c>
      <c r="I9" s="29">
        <f t="shared" si="0"/>
        <v>1137</v>
      </c>
    </row>
    <row r="10" spans="1:9">
      <c r="A10" s="55"/>
      <c r="B10" s="57"/>
      <c r="C10" s="60"/>
      <c r="D10" s="63"/>
      <c r="E10" s="66"/>
      <c r="F10" s="66"/>
      <c r="G10" s="4" t="s">
        <v>127</v>
      </c>
      <c r="H10" s="13">
        <v>994.4</v>
      </c>
      <c r="I10" s="29">
        <f t="shared" si="0"/>
        <v>994.4</v>
      </c>
    </row>
    <row r="11" spans="1:9">
      <c r="A11" s="55"/>
      <c r="B11" s="57"/>
      <c r="C11" s="60"/>
      <c r="D11" s="63"/>
      <c r="E11" s="66"/>
      <c r="F11" s="66"/>
      <c r="G11" s="4" t="s">
        <v>128</v>
      </c>
      <c r="H11" s="13">
        <v>1697</v>
      </c>
      <c r="I11" s="29">
        <f t="shared" si="0"/>
        <v>1697</v>
      </c>
    </row>
    <row r="12" spans="1:9">
      <c r="A12" s="55"/>
      <c r="B12" s="57"/>
      <c r="C12" s="60"/>
      <c r="D12" s="63"/>
      <c r="E12" s="66"/>
      <c r="F12" s="66"/>
      <c r="G12" s="4" t="s">
        <v>129</v>
      </c>
      <c r="H12" s="13">
        <v>3200</v>
      </c>
      <c r="I12" s="29" t="str">
        <f t="shared" si="0"/>
        <v>Descartado</v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833.74699370505823</v>
      </c>
      <c r="B20" s="19">
        <f>COUNT(H3:H17)</f>
        <v>10</v>
      </c>
      <c r="C20" s="20">
        <f>IF(B20&lt;2,"N/A",(A20/D20))</f>
        <v>0.59454831543803</v>
      </c>
      <c r="D20" s="21">
        <f>ROUND(AVERAGE(H3:H17),2)</f>
        <v>1402.32</v>
      </c>
      <c r="E20" s="22">
        <f>IFERROR(ROUND(IF(B20&lt;2,"N/A",(IF(C20&lt;=25%,"N/A",AVERAGE(I3:I17)))),2),"N/A")</f>
        <v>1202.58</v>
      </c>
      <c r="F20" s="22">
        <f>ROUND(MEDIAN(H3:H17),2)</f>
        <v>1203</v>
      </c>
      <c r="G20" s="23" t="str">
        <f>INDEX(G3:G17,MATCH(H20,H3:H17,0))</f>
        <v xml:space="preserve">BLACK T-SHIRT COMERCIO E REPRESENTACAO LTDA </v>
      </c>
      <c r="H20" s="24">
        <f>MIN(H3:H17)</f>
        <v>514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1202.58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72154.799999999988</v>
      </c>
    </row>
    <row r="24" spans="1:11">
      <c r="B24" s="48"/>
      <c r="C24" s="48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" sqref="A2:A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152</v>
      </c>
      <c r="C3" s="59" t="s">
        <v>8</v>
      </c>
      <c r="D3" s="62">
        <v>50</v>
      </c>
      <c r="E3" s="65">
        <f>IF(C20&lt;=25%,D20,MIN(E20:F20))</f>
        <v>160</v>
      </c>
      <c r="F3" s="65">
        <f>MIN(H3:H17)</f>
        <v>122</v>
      </c>
      <c r="G3" s="4" t="s">
        <v>89</v>
      </c>
      <c r="H3" s="13">
        <v>160</v>
      </c>
      <c r="I3" s="29">
        <f>IF(H3="","",(IF($C$20&lt;25%,"N/A",IF(H3&lt;=($D$20+$A$20),H3,"Descartado"))))</f>
        <v>160</v>
      </c>
    </row>
    <row r="4" spans="1:9">
      <c r="A4" s="55"/>
      <c r="B4" s="57"/>
      <c r="C4" s="60"/>
      <c r="D4" s="63"/>
      <c r="E4" s="66"/>
      <c r="F4" s="66"/>
      <c r="G4" s="4" t="s">
        <v>90</v>
      </c>
      <c r="H4" s="13">
        <v>500.84</v>
      </c>
      <c r="I4" s="29" t="str">
        <f t="shared" ref="I4:I17" si="0">IF(H4="","",(IF($C$20&lt;25%,"N/A",IF(H4&lt;=($D$20+$A$20),H4,"Descartado"))))</f>
        <v>Descartado</v>
      </c>
    </row>
    <row r="5" spans="1:9">
      <c r="A5" s="55"/>
      <c r="B5" s="57"/>
      <c r="C5" s="60"/>
      <c r="D5" s="63"/>
      <c r="E5" s="66"/>
      <c r="F5" s="66"/>
      <c r="G5" s="4" t="s">
        <v>91</v>
      </c>
      <c r="H5" s="13">
        <v>130</v>
      </c>
      <c r="I5" s="29">
        <f t="shared" si="0"/>
        <v>130</v>
      </c>
    </row>
    <row r="6" spans="1:9">
      <c r="A6" s="55"/>
      <c r="B6" s="57"/>
      <c r="C6" s="60"/>
      <c r="D6" s="63"/>
      <c r="E6" s="66"/>
      <c r="F6" s="66"/>
      <c r="G6" s="4" t="s">
        <v>92</v>
      </c>
      <c r="H6" s="13">
        <v>129.82</v>
      </c>
      <c r="I6" s="29">
        <f t="shared" si="0"/>
        <v>129.82</v>
      </c>
    </row>
    <row r="7" spans="1:9">
      <c r="A7" s="55"/>
      <c r="B7" s="57"/>
      <c r="C7" s="60"/>
      <c r="D7" s="63"/>
      <c r="E7" s="66"/>
      <c r="F7" s="66"/>
      <c r="G7" s="4" t="s">
        <v>93</v>
      </c>
      <c r="H7" s="13">
        <v>339.99</v>
      </c>
      <c r="I7" s="29">
        <f t="shared" si="0"/>
        <v>339.99</v>
      </c>
    </row>
    <row r="8" spans="1:9">
      <c r="A8" s="55"/>
      <c r="B8" s="57"/>
      <c r="C8" s="60"/>
      <c r="D8" s="63"/>
      <c r="E8" s="66"/>
      <c r="F8" s="66"/>
      <c r="G8" s="4" t="s">
        <v>94</v>
      </c>
      <c r="H8" s="13">
        <v>122</v>
      </c>
      <c r="I8" s="29">
        <f t="shared" si="0"/>
        <v>122</v>
      </c>
    </row>
    <row r="9" spans="1:9">
      <c r="A9" s="55"/>
      <c r="B9" s="57"/>
      <c r="C9" s="60"/>
      <c r="D9" s="63"/>
      <c r="E9" s="66"/>
      <c r="F9" s="66"/>
      <c r="G9" s="4" t="s">
        <v>95</v>
      </c>
      <c r="H9" s="13">
        <v>234</v>
      </c>
      <c r="I9" s="29">
        <f t="shared" si="0"/>
        <v>234</v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142.63112131181845</v>
      </c>
      <c r="B20" s="19">
        <f>COUNT(H3:H17)</f>
        <v>7</v>
      </c>
      <c r="C20" s="20">
        <f>IF(B20&lt;2,"N/A",(A20/D20))</f>
        <v>0.61758441789053242</v>
      </c>
      <c r="D20" s="21">
        <f>ROUND(AVERAGE(H3:H17),2)</f>
        <v>230.95</v>
      </c>
      <c r="E20" s="22">
        <f>IFERROR(ROUND(IF(B20&lt;2,"N/A",(IF(C20&lt;=25%,"N/A",AVERAGE(I3:I17)))),2),"N/A")</f>
        <v>185.97</v>
      </c>
      <c r="F20" s="22">
        <f>ROUND(MEDIAN(H3:H17),2)</f>
        <v>160</v>
      </c>
      <c r="G20" s="23" t="str">
        <f>INDEX(G3:G17,MATCH(H20,H3:H17,0))</f>
        <v xml:space="preserve">WHITE BOARD IMPORT COMERCIO E SERVICOS LTDA </v>
      </c>
      <c r="H20" s="24">
        <f>MIN(H3:H17)</f>
        <v>122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160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8000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59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153</v>
      </c>
      <c r="C3" s="59" t="s">
        <v>8</v>
      </c>
      <c r="D3" s="62">
        <v>600</v>
      </c>
      <c r="E3" s="65">
        <f>IF(C20&lt;=25%,D20,MIN(E20:F20))</f>
        <v>80.33</v>
      </c>
      <c r="F3" s="65">
        <f>MIN(H3:H17)</f>
        <v>46</v>
      </c>
      <c r="G3" s="4" t="s">
        <v>96</v>
      </c>
      <c r="H3" s="13">
        <v>59.75</v>
      </c>
      <c r="I3" s="29">
        <f>IF(H3="","",(IF($C$20&lt;25%,"N/A",IF(H3&lt;=($D$20+$A$20),H3,"Descartado"))))</f>
        <v>59.75</v>
      </c>
    </row>
    <row r="4" spans="1:9">
      <c r="A4" s="55"/>
      <c r="B4" s="57"/>
      <c r="C4" s="60"/>
      <c r="D4" s="63"/>
      <c r="E4" s="66"/>
      <c r="F4" s="66"/>
      <c r="G4" s="4" t="s">
        <v>89</v>
      </c>
      <c r="H4" s="13">
        <v>46</v>
      </c>
      <c r="I4" s="29">
        <f t="shared" ref="I4:I17" si="0">IF(H4="","",(IF($C$20&lt;25%,"N/A",IF(H4&lt;=($D$20+$A$20),H4,"Descartado"))))</f>
        <v>46</v>
      </c>
    </row>
    <row r="5" spans="1:9">
      <c r="A5" s="55"/>
      <c r="B5" s="57"/>
      <c r="C5" s="60"/>
      <c r="D5" s="63"/>
      <c r="E5" s="66"/>
      <c r="F5" s="66"/>
      <c r="G5" s="4" t="s">
        <v>97</v>
      </c>
      <c r="H5" s="13">
        <v>65.89</v>
      </c>
      <c r="I5" s="29">
        <f t="shared" si="0"/>
        <v>65.89</v>
      </c>
    </row>
    <row r="6" spans="1:9">
      <c r="A6" s="55"/>
      <c r="B6" s="57"/>
      <c r="C6" s="60"/>
      <c r="D6" s="63"/>
      <c r="E6" s="66"/>
      <c r="F6" s="66"/>
      <c r="G6" s="4" t="s">
        <v>136</v>
      </c>
      <c r="H6" s="13">
        <v>239.9</v>
      </c>
      <c r="I6" s="29" t="str">
        <f t="shared" si="0"/>
        <v>Descartado</v>
      </c>
    </row>
    <row r="7" spans="1:9">
      <c r="A7" s="55"/>
      <c r="B7" s="57"/>
      <c r="C7" s="60"/>
      <c r="D7" s="63"/>
      <c r="E7" s="66"/>
      <c r="F7" s="66"/>
      <c r="G7" s="4" t="s">
        <v>137</v>
      </c>
      <c r="H7" s="13">
        <v>120</v>
      </c>
      <c r="I7" s="29">
        <f t="shared" si="0"/>
        <v>120</v>
      </c>
    </row>
    <row r="8" spans="1:9">
      <c r="A8" s="55"/>
      <c r="B8" s="57"/>
      <c r="C8" s="60"/>
      <c r="D8" s="63"/>
      <c r="E8" s="66"/>
      <c r="F8" s="66"/>
      <c r="G8" s="4" t="s">
        <v>138</v>
      </c>
      <c r="H8" s="13">
        <v>110</v>
      </c>
      <c r="I8" s="29">
        <f t="shared" si="0"/>
        <v>110</v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71.391833333138806</v>
      </c>
      <c r="B20" s="19">
        <f>COUNT(H3:H17)</f>
        <v>6</v>
      </c>
      <c r="C20" s="20">
        <f>IF(B20&lt;2,"N/A",(A20/D20))</f>
        <v>0.66771262002561549</v>
      </c>
      <c r="D20" s="21">
        <f>ROUND(AVERAGE(H3:H17),2)</f>
        <v>106.92</v>
      </c>
      <c r="E20" s="22">
        <f>IFERROR(ROUND(IF(B20&lt;2,"N/A",(IF(C20&lt;=25%,"N/A",AVERAGE(I3:I17)))),2),"N/A")</f>
        <v>80.33</v>
      </c>
      <c r="F20" s="22">
        <f>ROUND(MEDIAN(H3:H17),2)</f>
        <v>87.95</v>
      </c>
      <c r="G20" s="23" t="str">
        <f>INDEX(G3:G17,MATCH(H20,H3:H17,0))</f>
        <v xml:space="preserve">PCX LIRA MARCENARIA REFORMAS E CONSTRUCOES </v>
      </c>
      <c r="H20" s="24">
        <f>MIN(H3:H17)</f>
        <v>46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80.33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48198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69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143</v>
      </c>
      <c r="C3" s="59" t="s">
        <v>8</v>
      </c>
      <c r="D3" s="62">
        <v>10</v>
      </c>
      <c r="E3" s="65">
        <f>IF(C20&lt;=25%,D20,MIN(E20:F20))</f>
        <v>322.35000000000002</v>
      </c>
      <c r="F3" s="65">
        <f>MIN(H3:H17)</f>
        <v>226.76</v>
      </c>
      <c r="G3" s="4" t="s">
        <v>98</v>
      </c>
      <c r="H3" s="13">
        <v>368</v>
      </c>
      <c r="I3" s="29" t="str">
        <f>IF(H3="","",(IF($C$20&lt;25%,"N/A",IF(H3&lt;=($D$20+$A$20),H3,"Descartado"))))</f>
        <v>N/A</v>
      </c>
    </row>
    <row r="4" spans="1:9">
      <c r="A4" s="55"/>
      <c r="B4" s="57"/>
      <c r="C4" s="60"/>
      <c r="D4" s="63"/>
      <c r="E4" s="66"/>
      <c r="F4" s="66"/>
      <c r="G4" s="4" t="s">
        <v>99</v>
      </c>
      <c r="H4" s="13">
        <v>350</v>
      </c>
      <c r="I4" s="29" t="str">
        <f t="shared" ref="I4:I17" si="0">IF(H4="","",(IF($C$20&lt;25%,"N/A",IF(H4&lt;=($D$20+$A$20),H4,"Descartado"))))</f>
        <v>N/A</v>
      </c>
    </row>
    <row r="5" spans="1:9">
      <c r="A5" s="55"/>
      <c r="B5" s="57"/>
      <c r="C5" s="60"/>
      <c r="D5" s="63"/>
      <c r="E5" s="66"/>
      <c r="F5" s="66"/>
      <c r="G5" s="4" t="s">
        <v>100</v>
      </c>
      <c r="H5" s="13">
        <v>226.76</v>
      </c>
      <c r="I5" s="29" t="str">
        <f t="shared" si="0"/>
        <v>N/A</v>
      </c>
    </row>
    <row r="6" spans="1:9">
      <c r="A6" s="55"/>
      <c r="B6" s="57"/>
      <c r="C6" s="60"/>
      <c r="D6" s="63"/>
      <c r="E6" s="66"/>
      <c r="F6" s="66"/>
      <c r="G6" s="4" t="s">
        <v>101</v>
      </c>
      <c r="H6" s="13">
        <v>409</v>
      </c>
      <c r="I6" s="29" t="str">
        <f t="shared" si="0"/>
        <v>N/A</v>
      </c>
    </row>
    <row r="7" spans="1:9">
      <c r="A7" s="55"/>
      <c r="B7" s="57"/>
      <c r="C7" s="60"/>
      <c r="D7" s="63"/>
      <c r="E7" s="66"/>
      <c r="F7" s="66"/>
      <c r="G7" s="4" t="s">
        <v>102</v>
      </c>
      <c r="H7" s="13">
        <v>349.9</v>
      </c>
      <c r="I7" s="29" t="str">
        <f t="shared" si="0"/>
        <v>N/A</v>
      </c>
    </row>
    <row r="8" spans="1:9">
      <c r="A8" s="55"/>
      <c r="B8" s="57"/>
      <c r="C8" s="60"/>
      <c r="D8" s="63"/>
      <c r="E8" s="66"/>
      <c r="F8" s="66"/>
      <c r="G8" s="4" t="s">
        <v>103</v>
      </c>
      <c r="H8" s="13">
        <v>230.44</v>
      </c>
      <c r="I8" s="29" t="str">
        <f t="shared" si="0"/>
        <v>N/A</v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75.763535028402828</v>
      </c>
      <c r="B20" s="19">
        <f>COUNT(H3:H17)</f>
        <v>6</v>
      </c>
      <c r="C20" s="20">
        <f>IF(B20&lt;2,"N/A",(A20/D20))</f>
        <v>0.23503500861921148</v>
      </c>
      <c r="D20" s="21">
        <f>ROUND(AVERAGE(H3:H17),2)</f>
        <v>322.35000000000002</v>
      </c>
      <c r="E20" s="22" t="str">
        <f>IFERROR(ROUND(IF(B20&lt;2,"N/A",(IF(C20&lt;=25%,"N/A",AVERAGE(I3:I17)))),2),"N/A")</f>
        <v>N/A</v>
      </c>
      <c r="F20" s="22">
        <f>ROUND(MEDIAN(H3:H17),2)</f>
        <v>349.95</v>
      </c>
      <c r="G20" s="23" t="str">
        <f>INDEX(G3:G17,MATCH(H20,H3:H17,0))</f>
        <v xml:space="preserve">4A COMERCIO ATACADISTA DE MATERIAIS DE CONSTRUCAO LTDA </v>
      </c>
      <c r="H20" s="24">
        <f>MIN(H3:H17)</f>
        <v>226.76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322.35000000000002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3223.5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79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144</v>
      </c>
      <c r="C3" s="59" t="s">
        <v>8</v>
      </c>
      <c r="D3" s="62">
        <v>80</v>
      </c>
      <c r="E3" s="65">
        <f>IF(C20&lt;=25%,D20,MIN(E20:F20))</f>
        <v>292.5</v>
      </c>
      <c r="F3" s="65">
        <f>MIN(H3:H17)</f>
        <v>94</v>
      </c>
      <c r="G3" s="4" t="s">
        <v>104</v>
      </c>
      <c r="H3" s="13">
        <v>132.30000000000001</v>
      </c>
      <c r="I3" s="29">
        <f>IF(H3="","",(IF($C$20&lt;25%,"N/A",IF(H3&lt;=($D$20+$A$20),H3,"Descartado"))))</f>
        <v>132.30000000000001</v>
      </c>
    </row>
    <row r="4" spans="1:9">
      <c r="A4" s="55"/>
      <c r="B4" s="57"/>
      <c r="C4" s="60"/>
      <c r="D4" s="63"/>
      <c r="E4" s="66"/>
      <c r="F4" s="66"/>
      <c r="G4" s="4" t="s">
        <v>105</v>
      </c>
      <c r="H4" s="13">
        <v>126.9</v>
      </c>
      <c r="I4" s="29">
        <f t="shared" ref="I4:I17" si="0">IF(H4="","",(IF($C$20&lt;25%,"N/A",IF(H4&lt;=($D$20+$A$20),H4,"Descartado"))))</f>
        <v>126.9</v>
      </c>
    </row>
    <row r="5" spans="1:9">
      <c r="A5" s="55"/>
      <c r="B5" s="57"/>
      <c r="C5" s="60"/>
      <c r="D5" s="63"/>
      <c r="E5" s="66"/>
      <c r="F5" s="66"/>
      <c r="G5" s="4" t="s">
        <v>106</v>
      </c>
      <c r="H5" s="13">
        <v>162.5</v>
      </c>
      <c r="I5" s="29">
        <f t="shared" si="0"/>
        <v>162.5</v>
      </c>
    </row>
    <row r="6" spans="1:9">
      <c r="A6" s="55"/>
      <c r="B6" s="57"/>
      <c r="C6" s="60"/>
      <c r="D6" s="63"/>
      <c r="E6" s="66"/>
      <c r="F6" s="66"/>
      <c r="G6" s="4" t="s">
        <v>107</v>
      </c>
      <c r="H6" s="13">
        <v>978</v>
      </c>
      <c r="I6" s="29">
        <f t="shared" si="0"/>
        <v>978</v>
      </c>
    </row>
    <row r="7" spans="1:9">
      <c r="A7" s="55"/>
      <c r="B7" s="57"/>
      <c r="C7" s="60"/>
      <c r="D7" s="63"/>
      <c r="E7" s="66"/>
      <c r="F7" s="66"/>
      <c r="G7" s="4" t="s">
        <v>108</v>
      </c>
      <c r="H7" s="13">
        <v>315</v>
      </c>
      <c r="I7" s="29">
        <f t="shared" si="0"/>
        <v>315</v>
      </c>
    </row>
    <row r="8" spans="1:9">
      <c r="A8" s="55"/>
      <c r="B8" s="57"/>
      <c r="C8" s="60"/>
      <c r="D8" s="63"/>
      <c r="E8" s="66"/>
      <c r="F8" s="66"/>
      <c r="G8" s="4" t="s">
        <v>109</v>
      </c>
      <c r="H8" s="13">
        <v>270</v>
      </c>
      <c r="I8" s="29">
        <f t="shared" si="0"/>
        <v>270</v>
      </c>
    </row>
    <row r="9" spans="1:9">
      <c r="A9" s="55"/>
      <c r="B9" s="57"/>
      <c r="C9" s="60"/>
      <c r="D9" s="63"/>
      <c r="E9" s="66"/>
      <c r="F9" s="66"/>
      <c r="G9" s="4" t="s">
        <v>110</v>
      </c>
      <c r="H9" s="13">
        <v>94</v>
      </c>
      <c r="I9" s="29">
        <f t="shared" si="0"/>
        <v>94</v>
      </c>
    </row>
    <row r="10" spans="1:9">
      <c r="A10" s="55"/>
      <c r="B10" s="57"/>
      <c r="C10" s="60"/>
      <c r="D10" s="63"/>
      <c r="E10" s="66"/>
      <c r="F10" s="66"/>
      <c r="G10" s="4" t="s">
        <v>111</v>
      </c>
      <c r="H10" s="13">
        <v>789</v>
      </c>
      <c r="I10" s="29">
        <f t="shared" si="0"/>
        <v>789</v>
      </c>
    </row>
    <row r="11" spans="1:9">
      <c r="A11" s="55"/>
      <c r="B11" s="57"/>
      <c r="C11" s="60"/>
      <c r="D11" s="63"/>
      <c r="E11" s="66"/>
      <c r="F11" s="66"/>
      <c r="G11" s="4" t="s">
        <v>112</v>
      </c>
      <c r="H11" s="13">
        <v>2420</v>
      </c>
      <c r="I11" s="29" t="str">
        <f t="shared" si="0"/>
        <v>Descartado</v>
      </c>
    </row>
    <row r="12" spans="1:9">
      <c r="A12" s="55"/>
      <c r="B12" s="57"/>
      <c r="C12" s="60"/>
      <c r="D12" s="63"/>
      <c r="E12" s="66"/>
      <c r="F12" s="66"/>
      <c r="G12" s="4" t="s">
        <v>133</v>
      </c>
      <c r="H12" s="13">
        <v>749.9</v>
      </c>
      <c r="I12" s="29">
        <f t="shared" si="0"/>
        <v>749.9</v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714.41256241287738</v>
      </c>
      <c r="B20" s="19">
        <f>COUNT(H3:H17)</f>
        <v>10</v>
      </c>
      <c r="C20" s="20">
        <f>IF(B20&lt;2,"N/A",(A20/D20))</f>
        <v>1.183272430126006</v>
      </c>
      <c r="D20" s="21">
        <f>ROUND(AVERAGE(H3:H17),2)</f>
        <v>603.76</v>
      </c>
      <c r="E20" s="22">
        <f>IFERROR(ROUND(IF(B20&lt;2,"N/A",(IF(C20&lt;=25%,"N/A",AVERAGE(I3:I17)))),2),"N/A")</f>
        <v>401.96</v>
      </c>
      <c r="F20" s="22">
        <f>ROUND(MEDIAN(H3:H17),2)</f>
        <v>292.5</v>
      </c>
      <c r="G20" s="23" t="str">
        <f>INDEX(G3:G17,MATCH(H20,H3:H17,0))</f>
        <v xml:space="preserve">KM INDUSTRIA E COMERCIO DE MOVEIS LTDA </v>
      </c>
      <c r="H20" s="24">
        <f>MIN(H3:H17)</f>
        <v>94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292.5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23400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88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39</v>
      </c>
      <c r="C3" s="59" t="s">
        <v>8</v>
      </c>
      <c r="D3" s="62">
        <v>10</v>
      </c>
      <c r="E3" s="65">
        <f>IF(C20&lt;=25%,D20,MIN(E20:F20))</f>
        <v>757.25</v>
      </c>
      <c r="F3" s="65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5"/>
      <c r="B4" s="57"/>
      <c r="C4" s="60"/>
      <c r="D4" s="63"/>
      <c r="E4" s="66"/>
      <c r="F4" s="66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5"/>
      <c r="B5" s="57"/>
      <c r="C5" s="60"/>
      <c r="D5" s="63"/>
      <c r="E5" s="66"/>
      <c r="F5" s="66"/>
      <c r="G5" s="4" t="s">
        <v>38</v>
      </c>
      <c r="H5" s="13">
        <v>1125</v>
      </c>
      <c r="I5" s="29" t="str">
        <f t="shared" si="0"/>
        <v>Descartado</v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O23"/>
  <sheetViews>
    <sheetView view="pageBreakPreview" topLeftCell="A18" zoomScaleNormal="100" zoomScaleSheetLayoutView="100" workbookViewId="0">
      <selection activeCell="G23" sqref="G23"/>
    </sheetView>
  </sheetViews>
  <sheetFormatPr defaultRowHeight="12.75"/>
  <cols>
    <col min="1" max="1" width="11.42578125" style="1" customWidth="1"/>
    <col min="2" max="2" width="9.140625" style="1"/>
    <col min="3" max="3" width="86.85546875" style="1" customWidth="1"/>
    <col min="4" max="6" width="13.28515625" style="1" customWidth="1"/>
    <col min="7" max="7" width="15.5703125" style="1" bestFit="1" customWidth="1"/>
    <col min="8" max="8" width="13" style="1" customWidth="1"/>
    <col min="9" max="15" width="9.140625" style="2"/>
    <col min="16" max="16384" width="9.140625" style="1"/>
  </cols>
  <sheetData>
    <row r="8" spans="1:8" ht="15.75" customHeight="1">
      <c r="A8" s="77" t="s">
        <v>14</v>
      </c>
      <c r="B8" s="78"/>
      <c r="C8" s="78"/>
      <c r="D8" s="78"/>
      <c r="E8" s="78"/>
      <c r="F8" s="78"/>
      <c r="G8" s="78"/>
      <c r="H8" s="79"/>
    </row>
    <row r="9" spans="1:8" ht="25.5">
      <c r="A9" s="51" t="s">
        <v>140</v>
      </c>
      <c r="B9" s="40" t="s">
        <v>15</v>
      </c>
      <c r="C9" s="40" t="s">
        <v>16</v>
      </c>
      <c r="D9" s="40" t="s">
        <v>17</v>
      </c>
      <c r="E9" s="40" t="s">
        <v>18</v>
      </c>
      <c r="F9" s="40" t="s">
        <v>13</v>
      </c>
      <c r="G9" s="40" t="s">
        <v>142</v>
      </c>
      <c r="H9" s="40" t="s">
        <v>141</v>
      </c>
    </row>
    <row r="10" spans="1:8" ht="153">
      <c r="A10" s="50" t="s">
        <v>156</v>
      </c>
      <c r="B10" s="41">
        <v>1</v>
      </c>
      <c r="C10" s="42" t="str">
        <f>Item1!B3</f>
        <v xml:space="preserve">MESA AUXILIAR, com as seguintes especificações: • Tampo único em MDP ou MDF, espessura de 25 mm, admitindo-se variação de ± 5 mm, revestido em ambas as faces com laminado melamínico na cor argila, bege ou marfim; • Bordas retas em termoplástico, na cor do tampo, espessura mínima de 2 mm; • Painel frontal, espessura de 20 mm, admitindo-se variação de ± 5 mm, revestido em ambas as faces com laminado melamínico na cor do tampo ou cinza; • Dimensões: 800 mm x 600 mm x 735 mm (lxpxh), admitidas variações de +100 mm para largura, e ±50 mm para profundidade e de ±5 mm para altura; • Estruturas laterais metálicas, com calha vertical metálica para passagem de fiação, pintadas em epóxi-pó por processo eletrostático na cor cinza ou preta; • Tratamento anti-corrosivo à base de fosfato de zinco;  Todos os componentes metálicos aparentes em cor cinza ou preta; - Sapatas reguladoras de nível em nylon ou polímero resistente; - Saída de cabeamento da parte inferior para a superior com tampa removível, produzida com divisores que permitam a individualização dos circuitos; - Calha horizontal para cabeamento sob o tampo. </v>
      </c>
      <c r="D10" s="41" t="str">
        <f>Item1!C3</f>
        <v>unidade</v>
      </c>
      <c r="E10" s="41">
        <f>Item1!D3</f>
        <v>50</v>
      </c>
      <c r="F10" s="43">
        <f>Item1!E3</f>
        <v>1084.9100000000001</v>
      </c>
      <c r="G10" s="43">
        <f t="shared" ref="G10:G21" si="0">(ROUND(F10,2)*E10)</f>
        <v>54245.500000000007</v>
      </c>
      <c r="H10" s="50" t="s">
        <v>156</v>
      </c>
    </row>
    <row r="11" spans="1:8" ht="38.25">
      <c r="A11" s="50" t="s">
        <v>156</v>
      </c>
      <c r="B11" s="41">
        <v>2</v>
      </c>
      <c r="C11" s="42" t="str">
        <f>Item2!B3</f>
        <v xml:space="preserve">QUADRO DE AVISO, com as seguintes especificações:  Confeccionado em cortiça ou Celotex revestido com feltro na cor azul ou verde;  Moldura em alumínio, dotada de furos ou dispositivo para fixação em parede;  Dimensões podendo variar de: 1.000 mm a 1.200 mm (largura) x 800 mm a 900 mm (altura); </v>
      </c>
      <c r="D11" s="41" t="str">
        <f>Item2!C3</f>
        <v>unidade</v>
      </c>
      <c r="E11" s="41">
        <f>Item2!D3</f>
        <v>50</v>
      </c>
      <c r="F11" s="43">
        <f>Item2!E3</f>
        <v>160</v>
      </c>
      <c r="G11" s="43">
        <f t="shared" si="0"/>
        <v>8000</v>
      </c>
      <c r="H11" s="50" t="s">
        <v>156</v>
      </c>
    </row>
    <row r="12" spans="1:8" ht="63.75">
      <c r="A12" s="50" t="s">
        <v>156</v>
      </c>
      <c r="B12" s="41">
        <v>3</v>
      </c>
      <c r="C12" s="42" t="str">
        <f>Item3!B3</f>
        <v>APOIO ERGONÔMICO PARA OS PÉS, com as seguintes especificações: Base (apoio para os pés) confeccionada em plástico de alta resistência e antiderrapante;  Cor preta;  O apoio para os pés não devem apresentar quinas vivas;  Estrutura tubular metálica  Com pés e/ou sapatas antiderrapantes;
 Dimensões da base podendo variar: 400 a 510 mm (largura) e 280 a 420 mm (profundidade);
 Inclinação ajustável</v>
      </c>
      <c r="D12" s="41" t="str">
        <f>Item3!C3</f>
        <v>unidade</v>
      </c>
      <c r="E12" s="41">
        <f>Item3!D3</f>
        <v>600</v>
      </c>
      <c r="F12" s="43">
        <f>Item3!E3</f>
        <v>80.33</v>
      </c>
      <c r="G12" s="43">
        <f t="shared" si="0"/>
        <v>48198</v>
      </c>
      <c r="H12" s="50" t="s">
        <v>156</v>
      </c>
    </row>
    <row r="13" spans="1:8" ht="63.75">
      <c r="A13" s="50" t="s">
        <v>156</v>
      </c>
      <c r="B13" s="41">
        <v>4</v>
      </c>
      <c r="C13" s="42" t="str">
        <f>Item4!B3</f>
        <v xml:space="preserve">ESCADA 08 DEGRAUS, com as seguintes especificações:  Escada de abrir em alumínio com 8 degraus;  Abertura em “A”;  Estrutura da escada e dos degraus, inclusive do patamar superior: 100% alumínio;  Capacidade para suportar no mínimo 120 Kg;  Degraus e patamar antiderrapantes;  Trava ou fita de segurança contra abertura excessiva em ambos os lados;  Patamar largo, com travamento automático;  Alça de apoio para as mãos na parte superior;  Pés/sapatas antiderrapantes; </v>
      </c>
      <c r="D13" s="41" t="str">
        <f>Item4!C3</f>
        <v>unidade</v>
      </c>
      <c r="E13" s="41">
        <f>Item4!D3</f>
        <v>10</v>
      </c>
      <c r="F13" s="43">
        <f>Item4!E3</f>
        <v>322.35000000000002</v>
      </c>
      <c r="G13" s="43">
        <f t="shared" si="0"/>
        <v>3223.5</v>
      </c>
      <c r="H13" s="50" t="s">
        <v>156</v>
      </c>
    </row>
    <row r="14" spans="1:8" ht="63.75">
      <c r="A14" s="50" t="s">
        <v>156</v>
      </c>
      <c r="B14" s="41">
        <v>5</v>
      </c>
      <c r="C14" s="42" t="str">
        <f>Item5!B3</f>
        <v xml:space="preserve">CADEIRA FIXA SEM BRAÇO, com as seguintes especificações:  Assento e encosto produzido em polipropileno na cor branca.  Pernas em aço com acabamento cromado ou em pintura eletroestática na cor cinza, com tratamento anticorrosivo e com pés e/ou sapatas antiderrapantes.
 Medindo 51 cm (comprimento), 52 cm (largura) e 84 cm (altura) admitindo-se variações de ±3 cm no comprimento e na largura e ±4 cm na altura.  Resistente à carga estática de no mínimo 140 kg. </v>
      </c>
      <c r="D14" s="41" t="str">
        <f>Item5!C3</f>
        <v>unidade</v>
      </c>
      <c r="E14" s="41">
        <f>Item5!D3</f>
        <v>80</v>
      </c>
      <c r="F14" s="43">
        <f>Item5!E3</f>
        <v>292.5</v>
      </c>
      <c r="G14" s="43">
        <f t="shared" si="0"/>
        <v>23400</v>
      </c>
      <c r="H14" s="50" t="s">
        <v>156</v>
      </c>
    </row>
    <row r="15" spans="1:8" ht="38.25">
      <c r="A15" s="50" t="s">
        <v>156</v>
      </c>
      <c r="B15" s="41">
        <v>6</v>
      </c>
      <c r="C15" s="42" t="str">
        <f>Item6!B3</f>
        <v xml:space="preserve">GRADIS DE CONTENÇÃO DE PÚBLICO, com as seguintes especificações:  Altura de 1,2 metros e 2 metros de comprimento admitindo-se variações de 0,1 metros.  Cor prata  Estrutura em tubo estrutural  Pés de Apoio Fixo em tubo estrutural.  Acabamento Galvanizado  Trava Encaixe laminado </v>
      </c>
      <c r="D15" s="41" t="str">
        <f>Item6!C3</f>
        <v>unidade</v>
      </c>
      <c r="E15" s="41">
        <f>Item6!D3</f>
        <v>50</v>
      </c>
      <c r="F15" s="43">
        <f>Item6!E3</f>
        <v>391.98</v>
      </c>
      <c r="G15" s="43">
        <f t="shared" si="0"/>
        <v>19599</v>
      </c>
      <c r="H15" s="50" t="s">
        <v>156</v>
      </c>
    </row>
    <row r="16" spans="1:8" ht="63.75">
      <c r="A16" s="50" t="s">
        <v>156</v>
      </c>
      <c r="B16" s="41">
        <v>7</v>
      </c>
      <c r="C16" s="42" t="str">
        <f>Item7!B3</f>
        <v xml:space="preserve">CADEIRA DE RODAS, com as seguintes especificações:  Funcionamento manual  Fabricada em aço carbono  Estofamento em nylon  Estrutura dobrável em formato x  Sistema de freios bilaterais reguláveis  Rodas dianteiras de 6” maciças  Rodas traseiras de 24”, injetadas em nylon com pneus maciços  Apoio para os braços fixos e apoio para os pés removível ou retrátil  Apoio para panturrilha  Capacidade mínima para 90 kg.  Largura mínima do assento de 40 cm </v>
      </c>
      <c r="D16" s="41" t="str">
        <f>Item7!C3</f>
        <v>unidade</v>
      </c>
      <c r="E16" s="41">
        <f>Item7!D3</f>
        <v>20</v>
      </c>
      <c r="F16" s="43">
        <f>Item7!E3</f>
        <v>1202.58</v>
      </c>
      <c r="G16" s="43">
        <f t="shared" si="0"/>
        <v>24051.599999999999</v>
      </c>
      <c r="H16" s="50" t="s">
        <v>156</v>
      </c>
    </row>
    <row r="17" spans="1:8" ht="102">
      <c r="A17" s="80" t="s">
        <v>155</v>
      </c>
      <c r="B17" s="41">
        <v>8</v>
      </c>
      <c r="C17" s="42" t="str">
        <f>Item8!B3</f>
        <v xml:space="preserve">ESTAÇÃO DE ATENDIMENTO ANTEDIMENTO, com as seguintes especificações:  Com 3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A.1.
Todos os itens do lote devem seguir o mesmo padrão em relação a tonalidade das cores ,padrão de construção e textura dos materiais </v>
      </c>
      <c r="D17" s="41" t="str">
        <f>Item8!C3</f>
        <v>unidade</v>
      </c>
      <c r="E17" s="41">
        <f>Item8!D3</f>
        <v>5</v>
      </c>
      <c r="F17" s="43">
        <f>Item8!E3</f>
        <v>7876.9</v>
      </c>
      <c r="G17" s="43">
        <f t="shared" si="0"/>
        <v>39384.5</v>
      </c>
      <c r="H17" s="81">
        <f>G17+G18+G19+G20+G21</f>
        <v>185377.15</v>
      </c>
    </row>
    <row r="18" spans="1:8" ht="89.25">
      <c r="A18" s="80"/>
      <c r="B18" s="41">
        <v>9</v>
      </c>
      <c r="C18" s="42" t="str">
        <f>Item9!B3</f>
        <v xml:space="preserve">ESTAÇÃO DE ATENDIMENTO ANTEDIMENTO, com as seguintes especificações:  Com 4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Todos os itens do lote devem seguir o mesmo padrão em relação a tonalidade das cores ,padrão de construção e textura dos materiais </v>
      </c>
      <c r="D18" s="41" t="str">
        <f>Item9!C3</f>
        <v>unidade</v>
      </c>
      <c r="E18" s="41">
        <f>Item9!D3</f>
        <v>5</v>
      </c>
      <c r="F18" s="43">
        <f>Item9!E3</f>
        <v>6939.45</v>
      </c>
      <c r="G18" s="43">
        <f t="shared" si="0"/>
        <v>34697.25</v>
      </c>
      <c r="H18" s="82"/>
    </row>
    <row r="19" spans="1:8" ht="89.25">
      <c r="A19" s="80"/>
      <c r="B19" s="41">
        <v>10</v>
      </c>
      <c r="C19" s="42" t="str">
        <f>Item10!B3</f>
        <v xml:space="preserve">ESTAÇÃO DE ATENDIMENTO ANTEDIMENTO, com as seguintes especificações:  Com 5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 Todos os itens do lote devem seguir o mesmo padrão em relação a tonalidade das cores ,padrão de construção e textura dos materiais </v>
      </c>
      <c r="D19" s="41" t="str">
        <f>Item10!C3</f>
        <v>unidade</v>
      </c>
      <c r="E19" s="41">
        <f>Item10!D3</f>
        <v>5</v>
      </c>
      <c r="F19" s="43">
        <f>Item10!E3</f>
        <v>7215.45</v>
      </c>
      <c r="G19" s="43">
        <f t="shared" si="0"/>
        <v>36077.25</v>
      </c>
      <c r="H19" s="82"/>
    </row>
    <row r="20" spans="1:8" ht="102">
      <c r="A20" s="80"/>
      <c r="B20" s="41">
        <v>11</v>
      </c>
      <c r="C20" s="42" t="str">
        <f>Item11!B3</f>
        <v>ESTAÇÃO DE ATENDIMENTO ANTEDIMENTO, com as seguintes especificações:  Com 6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  O produto deve ser fornecido considerando todas as especificações acima elencadas assim como as especificadas no projeto constante do Anexo A.1
Todos os itens do lote devem seguir o mesmo padrão em relação a tonalidade das cores ,padrão de construção e textura dos materiais</v>
      </c>
      <c r="D20" s="41" t="str">
        <f>Item11!C3</f>
        <v>unidade</v>
      </c>
      <c r="E20" s="41">
        <f>Item11!D3</f>
        <v>5</v>
      </c>
      <c r="F20" s="43">
        <f>Item11!E3</f>
        <v>8491.9500000000007</v>
      </c>
      <c r="G20" s="43">
        <f t="shared" si="0"/>
        <v>42459.75</v>
      </c>
      <c r="H20" s="82"/>
    </row>
    <row r="21" spans="1:8" ht="76.5">
      <c r="A21" s="80"/>
      <c r="B21" s="41">
        <v>12</v>
      </c>
      <c r="C21" s="42" t="str">
        <f>Item12!B3</f>
        <v>ESTAÇÃO DE ATENDIMENTO ANTEDIMENTO, com as seguintes especificações:  Com 8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</v>
      </c>
      <c r="D21" s="41" t="str">
        <f>Item12!C3</f>
        <v>unidade</v>
      </c>
      <c r="E21" s="41">
        <f>Item12!D3</f>
        <v>5</v>
      </c>
      <c r="F21" s="43">
        <f>Item12!E3</f>
        <v>6551.68</v>
      </c>
      <c r="G21" s="43">
        <f t="shared" si="0"/>
        <v>32758.400000000001</v>
      </c>
      <c r="H21" s="83"/>
    </row>
    <row r="22" spans="1:8" ht="63.75">
      <c r="A22" s="50" t="s">
        <v>156</v>
      </c>
      <c r="B22" s="50">
        <v>13</v>
      </c>
      <c r="C22" s="42" t="str">
        <f>Item13!B3</f>
        <v xml:space="preserve">CADEIRA DE RODAS, com as seguintes especificações:  Funcionamento manual  Fabricada em aço carbono  Estofamento em nylon  Estrutura dobrável em formato x  Sistema de freios bilaterais reguláveis  Rodas dianteiras de 6” maciças  Rodas traseiras de 24”, injetadas em nylon com pneus maciços  Apoio para os braços fixos e apoio para os pés removível ou retrátil  Apoio para panturrilha  Capacidade mínima para 90 kg.  Largura mínima do assento de 40 cm </v>
      </c>
      <c r="D22" s="41" t="str">
        <f>Item13!C3</f>
        <v>unidade</v>
      </c>
      <c r="E22" s="41">
        <f>Item13!D3</f>
        <v>60</v>
      </c>
      <c r="F22" s="43">
        <f>Item13!E3</f>
        <v>1202.58</v>
      </c>
      <c r="G22" s="43">
        <f t="shared" ref="G22" si="1">(ROUND(F22,2)*E22)</f>
        <v>72154.799999999988</v>
      </c>
      <c r="H22" s="49" t="s">
        <v>156</v>
      </c>
    </row>
    <row r="23" spans="1:8" ht="15.75">
      <c r="A23" s="38"/>
      <c r="B23" s="38"/>
      <c r="C23" s="38"/>
      <c r="D23" s="77" t="s">
        <v>20</v>
      </c>
      <c r="E23" s="78"/>
      <c r="F23" s="79"/>
      <c r="G23" s="39">
        <f>SUM(G10:G22)</f>
        <v>438249.55</v>
      </c>
      <c r="H23" s="39"/>
    </row>
  </sheetData>
  <mergeCells count="4">
    <mergeCell ref="D23:F23"/>
    <mergeCell ref="A8:H8"/>
    <mergeCell ref="A17:A21"/>
    <mergeCell ref="H17:H21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&amp;L&amp;"-,Negrito"&amp;12Estimativa em &amp;D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view="pageBreakPreview" zoomScaleNormal="100" zoomScaleSheetLayoutView="100" workbookViewId="0">
      <selection activeCell="B9" sqref="B9:F9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90" t="s">
        <v>21</v>
      </c>
      <c r="B1" s="90"/>
      <c r="C1" s="90"/>
      <c r="D1" s="90"/>
      <c r="E1" s="90"/>
      <c r="F1" s="90"/>
    </row>
    <row r="2" spans="1:6" s="2" customFormat="1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s="2" customFormat="1" ht="17.25">
      <c r="A3" s="44" t="s">
        <v>22</v>
      </c>
      <c r="B3" s="84" t="str">
        <f>Item1!G20</f>
        <v>HOMEOFFICE MOVEIS LTDA - PE 01/2023</v>
      </c>
      <c r="C3" s="85"/>
      <c r="D3" s="85"/>
      <c r="E3" s="85"/>
      <c r="F3" s="86"/>
    </row>
    <row r="4" spans="1:6" s="2" customFormat="1" ht="153">
      <c r="A4" s="41">
        <v>1</v>
      </c>
      <c r="B4" s="42" t="str">
        <f>Item1!B3</f>
        <v xml:space="preserve">MESA AUXILIAR, com as seguintes especificações: • Tampo único em MDP ou MDF, espessura de 25 mm, admitindo-se variação de ± 5 mm, revestido em ambas as faces com laminado melamínico na cor argila, bege ou marfim; • Bordas retas em termoplástico, na cor do tampo, espessura mínima de 2 mm; • Painel frontal, espessura de 20 mm, admitindo-se variação de ± 5 mm, revestido em ambas as faces com laminado melamínico na cor do tampo ou cinza; • Dimensões: 800 mm x 600 mm x 735 mm (lxpxh), admitidas variações de +100 mm para largura, e ±50 mm para profundidade e de ±5 mm para altura; • Estruturas laterais metálicas, com calha vertical metálica para passagem de fiação, pintadas em epóxi-pó por processo eletrostático na cor cinza ou preta; • Tratamento anti-corrosivo à base de fosfato de zinco;  Todos os componentes metálicos aparentes em cor cinza ou preta; - Sapatas reguladoras de nível em nylon ou polímero resistente; - Saída de cabeamento da parte inferior para a superior com tampa removível, produzida com divisores que permitam a individualização dos circuitos; - Calha horizontal para cabeamento sob o tampo. </v>
      </c>
      <c r="C4" s="41" t="str">
        <f>Item1!C3</f>
        <v>unidade</v>
      </c>
      <c r="D4" s="41">
        <f>Item1!D3</f>
        <v>50</v>
      </c>
      <c r="E4" s="43">
        <f>Item1!F3</f>
        <v>839.40370799999994</v>
      </c>
      <c r="F4" s="43">
        <f>(ROUND(E4,2)*D4)</f>
        <v>41970</v>
      </c>
    </row>
    <row r="5" spans="1:6" s="2" customFormat="1" ht="17.25">
      <c r="A5" s="44" t="s">
        <v>22</v>
      </c>
      <c r="B5" s="84" t="str">
        <f>Item2!G20</f>
        <v xml:space="preserve">WHITE BOARD IMPORT COMERCIO E SERVICOS LTDA </v>
      </c>
      <c r="C5" s="85"/>
      <c r="D5" s="85"/>
      <c r="E5" s="85"/>
      <c r="F5" s="86"/>
    </row>
    <row r="6" spans="1:6" ht="38.25">
      <c r="A6" s="41">
        <v>2</v>
      </c>
      <c r="B6" s="42" t="str">
        <f>Item2!B3</f>
        <v xml:space="preserve">QUADRO DE AVISO, com as seguintes especificações:  Confeccionado em cortiça ou Celotex revestido com feltro na cor azul ou verde;  Moldura em alumínio, dotada de furos ou dispositivo para fixação em parede;  Dimensões podendo variar de: 1.000 mm a 1.200 mm (largura) x 800 mm a 900 mm (altura); </v>
      </c>
      <c r="C6" s="41" t="str">
        <f>Item2!C3</f>
        <v>unidade</v>
      </c>
      <c r="D6" s="41">
        <f>Item2!D3</f>
        <v>50</v>
      </c>
      <c r="E6" s="43">
        <f>Item2!F3</f>
        <v>122</v>
      </c>
      <c r="F6" s="43">
        <f>(ROUND(E6,2)*D6)</f>
        <v>6100</v>
      </c>
    </row>
    <row r="7" spans="1:6" ht="17.25">
      <c r="A7" s="44" t="s">
        <v>22</v>
      </c>
      <c r="B7" s="87" t="str">
        <f>Item3!G20</f>
        <v xml:space="preserve">PCX LIRA MARCENARIA REFORMAS E CONSTRUCOES </v>
      </c>
      <c r="C7" s="88"/>
      <c r="D7" s="88"/>
      <c r="E7" s="88"/>
      <c r="F7" s="89"/>
    </row>
    <row r="8" spans="1:6" ht="63.75">
      <c r="A8" s="41">
        <v>3</v>
      </c>
      <c r="B8" s="42" t="str">
        <f>Item3!B3</f>
        <v>APOIO ERGONÔMICO PARA OS PÉS, com as seguintes especificações: Base (apoio para os pés) confeccionada em plástico de alta resistência e antiderrapante;  Cor preta;  O apoio para os pés não devem apresentar quinas vivas;  Estrutura tubular metálica  Com pés e/ou sapatas antiderrapantes;
 Dimensões da base podendo variar: 400 a 510 mm (largura) e 280 a 420 mm (profundidade);
 Inclinação ajustável</v>
      </c>
      <c r="C8" s="41" t="str">
        <f>Item3!C3</f>
        <v>unidade</v>
      </c>
      <c r="D8" s="41">
        <f>Item3!D3</f>
        <v>600</v>
      </c>
      <c r="E8" s="43">
        <f>Item3!F3</f>
        <v>46</v>
      </c>
      <c r="F8" s="43">
        <f>(ROUND(E8,2)*D8)</f>
        <v>27600</v>
      </c>
    </row>
    <row r="9" spans="1:6" ht="12.75" customHeight="1">
      <c r="A9" s="44" t="s">
        <v>22</v>
      </c>
      <c r="B9" s="87" t="str">
        <f>Item4!G20</f>
        <v xml:space="preserve">4A COMERCIO ATACADISTA DE MATERIAIS DE CONSTRUCAO LTDA </v>
      </c>
      <c r="C9" s="88"/>
      <c r="D9" s="88"/>
      <c r="E9" s="88"/>
      <c r="F9" s="89"/>
    </row>
    <row r="10" spans="1:6" ht="63.75">
      <c r="A10" s="41">
        <v>4</v>
      </c>
      <c r="B10" s="42" t="str">
        <f>Item4!B3</f>
        <v xml:space="preserve">ESCADA 08 DEGRAUS, com as seguintes especificações:  Escada de abrir em alumínio com 8 degraus;  Abertura em “A”;  Estrutura da escada e dos degraus, inclusive do patamar superior: 100% alumínio;  Capacidade para suportar no mínimo 120 Kg;  Degraus e patamar antiderrapantes;  Trava ou fita de segurança contra abertura excessiva em ambos os lados;  Patamar largo, com travamento automático;  Alça de apoio para as mãos na parte superior;  Pés/sapatas antiderrapantes; </v>
      </c>
      <c r="C10" s="41" t="str">
        <f>Item4!C3</f>
        <v>unidade</v>
      </c>
      <c r="D10" s="41">
        <f>Item4!D3</f>
        <v>10</v>
      </c>
      <c r="E10" s="43">
        <f>Item4!F3</f>
        <v>226.76</v>
      </c>
      <c r="F10" s="43">
        <f>(ROUND(E10,2)*D10)</f>
        <v>2267.6</v>
      </c>
    </row>
    <row r="11" spans="1:6" ht="17.25">
      <c r="A11" s="44" t="s">
        <v>22</v>
      </c>
      <c r="B11" s="84" t="str">
        <f>Item5!G20</f>
        <v xml:space="preserve">KM INDUSTRIA E COMERCIO DE MOVEIS LTDA </v>
      </c>
      <c r="C11" s="85"/>
      <c r="D11" s="85"/>
      <c r="E11" s="85"/>
      <c r="F11" s="86"/>
    </row>
    <row r="12" spans="1:6" ht="63.75">
      <c r="A12" s="41">
        <v>5</v>
      </c>
      <c r="B12" s="42" t="str">
        <f>Item5!B3</f>
        <v xml:space="preserve">CADEIRA FIXA SEM BRAÇO, com as seguintes especificações:  Assento e encosto produzido em polipropileno na cor branca.  Pernas em aço com acabamento cromado ou em pintura eletroestática na cor cinza, com tratamento anticorrosivo e com pés e/ou sapatas antiderrapantes.
 Medindo 51 cm (comprimento), 52 cm (largura) e 84 cm (altura) admitindo-se variações de ±3 cm no comprimento e na largura e ±4 cm na altura.  Resistente à carga estática de no mínimo 140 kg. </v>
      </c>
      <c r="C12" s="41" t="str">
        <f>Item5!C3</f>
        <v>unidade</v>
      </c>
      <c r="D12" s="41">
        <f>Item5!D3</f>
        <v>80</v>
      </c>
      <c r="E12" s="43">
        <f>Item5!F3</f>
        <v>94</v>
      </c>
      <c r="F12" s="43">
        <f>(ROUND(E12,2)*D12)</f>
        <v>7520</v>
      </c>
    </row>
    <row r="13" spans="1:6" ht="17.25">
      <c r="A13" s="44" t="s">
        <v>22</v>
      </c>
      <c r="B13" s="84" t="str">
        <f>Item6!G20</f>
        <v xml:space="preserve">JWS MONTAGENS E INSTALACOES INDUSTRIAIS LTDA </v>
      </c>
      <c r="C13" s="85"/>
      <c r="D13" s="85"/>
      <c r="E13" s="85"/>
      <c r="F13" s="86"/>
    </row>
    <row r="14" spans="1:6" ht="38.25">
      <c r="A14" s="41">
        <v>6</v>
      </c>
      <c r="B14" s="42" t="str">
        <f>Item6!B3</f>
        <v xml:space="preserve">GRADIS DE CONTENÇÃO DE PÚBLICO, com as seguintes especificações:  Altura de 1,2 metros e 2 metros de comprimento admitindo-se variações de 0,1 metros.  Cor prata  Estrutura em tubo estrutural  Pés de Apoio Fixo em tubo estrutural.  Acabamento Galvanizado  Trava Encaixe laminado </v>
      </c>
      <c r="C14" s="41" t="str">
        <f>Item6!C3</f>
        <v>unidade</v>
      </c>
      <c r="D14" s="41">
        <f>Item6!D3</f>
        <v>50</v>
      </c>
      <c r="E14" s="43">
        <f>Item6!F3</f>
        <v>94.9</v>
      </c>
      <c r="F14" s="43">
        <f>(ROUND(E14,2)*D14)</f>
        <v>4745</v>
      </c>
    </row>
    <row r="15" spans="1:6" ht="17.25">
      <c r="A15" s="44" t="s">
        <v>22</v>
      </c>
      <c r="B15" s="84" t="str">
        <f>Item7!G20</f>
        <v xml:space="preserve">BLACK T-SHIRT COMERCIO E REPRESENTACAO LTDA </v>
      </c>
      <c r="C15" s="85"/>
      <c r="D15" s="85"/>
      <c r="E15" s="85"/>
      <c r="F15" s="86"/>
    </row>
    <row r="16" spans="1:6" ht="63.75">
      <c r="A16" s="41">
        <v>7</v>
      </c>
      <c r="B16" s="42" t="str">
        <f>Item7!B3</f>
        <v xml:space="preserve">CADEIRA DE RODAS, com as seguintes especificações:  Funcionamento manual  Fabricada em aço carbono  Estofamento em nylon  Estrutura dobrável em formato x  Sistema de freios bilaterais reguláveis  Rodas dianteiras de 6” maciças  Rodas traseiras de 24”, injetadas em nylon com pneus maciços  Apoio para os braços fixos e apoio para os pés removível ou retrátil  Apoio para panturrilha  Capacidade mínima para 90 kg.  Largura mínima do assento de 40 cm </v>
      </c>
      <c r="C16" s="41" t="str">
        <f>Item7!C3</f>
        <v>unidade</v>
      </c>
      <c r="D16" s="41">
        <f>Item7!D3</f>
        <v>20</v>
      </c>
      <c r="E16" s="43">
        <f>Item7!F3</f>
        <v>514</v>
      </c>
      <c r="F16" s="43">
        <f>(ROUND(E16,2)*D16)</f>
        <v>10280</v>
      </c>
    </row>
    <row r="17" spans="1:6" ht="17.25">
      <c r="A17" s="44" t="s">
        <v>22</v>
      </c>
      <c r="B17" s="84" t="str">
        <f>Item8!G20</f>
        <v>ERGON MOBILE</v>
      </c>
      <c r="C17" s="85"/>
      <c r="D17" s="85"/>
      <c r="E17" s="85"/>
      <c r="F17" s="86"/>
    </row>
    <row r="18" spans="1:6" ht="102">
      <c r="A18" s="41">
        <v>8</v>
      </c>
      <c r="B18" s="42" t="str">
        <f>Item8!B3</f>
        <v xml:space="preserve">ESTAÇÃO DE ATENDIMENTO ANTEDIMENTO, com as seguintes especificações:  Com 3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A.1.
Todos os itens do lote devem seguir o mesmo padrão em relação a tonalidade das cores ,padrão de construção e textura dos materiais </v>
      </c>
      <c r="C18" s="41" t="str">
        <f>Item8!C3</f>
        <v>unidade</v>
      </c>
      <c r="D18" s="41">
        <f>Item8!D3</f>
        <v>5</v>
      </c>
      <c r="E18" s="43">
        <f>Item8!F3</f>
        <v>7876.9</v>
      </c>
      <c r="F18" s="43">
        <f>(ROUND(E18,2)*D18)</f>
        <v>39384.5</v>
      </c>
    </row>
    <row r="19" spans="1:6" ht="17.25">
      <c r="A19" s="44" t="s">
        <v>22</v>
      </c>
      <c r="B19" s="84" t="str">
        <f>Item9!G20</f>
        <v>I9FLEX MOVEIS PARA ESCRITORIO</v>
      </c>
      <c r="C19" s="85"/>
      <c r="D19" s="85"/>
      <c r="E19" s="85"/>
      <c r="F19" s="86"/>
    </row>
    <row r="20" spans="1:6" ht="89.25">
      <c r="A20" s="41">
        <v>9</v>
      </c>
      <c r="B20" s="42" t="str">
        <f>Item9!B3</f>
        <v xml:space="preserve">ESTAÇÃO DE ATENDIMENTO ANTEDIMENTO, com as seguintes especificações:  Com 4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Todos os itens do lote devem seguir o mesmo padrão em relação a tonalidade das cores ,padrão de construção e textura dos materiais </v>
      </c>
      <c r="C20" s="41" t="str">
        <f>Item9!C3</f>
        <v>unidade</v>
      </c>
      <c r="D20" s="41">
        <f>Item9!D3</f>
        <v>5</v>
      </c>
      <c r="E20" s="43">
        <f>Item9!F3</f>
        <v>1866</v>
      </c>
      <c r="F20" s="43">
        <f>(ROUND(E20,2)*D20)</f>
        <v>9330</v>
      </c>
    </row>
    <row r="21" spans="1:6" ht="17.25">
      <c r="A21" s="44" t="s">
        <v>22</v>
      </c>
      <c r="B21" s="84" t="str">
        <f>Item10!G20</f>
        <v>I9FLEX MOVEIS PARA ESCRITORIO</v>
      </c>
      <c r="C21" s="85"/>
      <c r="D21" s="85"/>
      <c r="E21" s="85"/>
      <c r="F21" s="86"/>
    </row>
    <row r="22" spans="1:6" ht="89.25">
      <c r="A22" s="41">
        <v>10</v>
      </c>
      <c r="B22" s="42" t="str">
        <f>Item10!B3</f>
        <v xml:space="preserve">ESTAÇÃO DE ATENDIMENTO ANTEDIMENTO, com as seguintes especificações:  Com 5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  Todos os itens do lote devem seguir o mesmo padrão em relação a tonalidade das cores ,padrão de construção e textura dos materiais </v>
      </c>
      <c r="C22" s="41" t="str">
        <f>Item10!C3</f>
        <v>unidade</v>
      </c>
      <c r="D22" s="41">
        <f>Item10!D3</f>
        <v>5</v>
      </c>
      <c r="E22" s="43">
        <f>Item10!F3</f>
        <v>2283</v>
      </c>
      <c r="F22" s="43">
        <f>(ROUND(E22,2)*D22)</f>
        <v>11415</v>
      </c>
    </row>
    <row r="23" spans="1:6" ht="17.25">
      <c r="A23" s="44" t="s">
        <v>22</v>
      </c>
      <c r="B23" s="84" t="str">
        <f>Item11!G20</f>
        <v>I9FLEX MOVEIS PARA ESCRITORIO</v>
      </c>
      <c r="C23" s="85"/>
      <c r="D23" s="85"/>
      <c r="E23" s="85"/>
      <c r="F23" s="86"/>
    </row>
    <row r="24" spans="1:6" ht="102">
      <c r="A24" s="41">
        <v>11</v>
      </c>
      <c r="B24" s="42" t="str">
        <f>Item11!B3</f>
        <v>ESTAÇÃO DE ATENDIMENTO ANTEDIMENTO, com as seguintes especificações:  Com 6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  O produto deve ser fornecido considerando todas as especificações acima elencadas assim como as especificadas no projeto constante do Anexo A.1
Todos os itens do lote devem seguir o mesmo padrão em relação a tonalidade das cores ,padrão de construção e textura dos materiais</v>
      </c>
      <c r="C24" s="41" t="str">
        <f>Item11!C3</f>
        <v>unidade</v>
      </c>
      <c r="D24" s="41">
        <f>Item11!D3</f>
        <v>5</v>
      </c>
      <c r="E24" s="43">
        <f>Item11!F3</f>
        <v>2700</v>
      </c>
      <c r="F24" s="43">
        <f>(ROUND(E24,2)*D24)</f>
        <v>13500</v>
      </c>
    </row>
    <row r="25" spans="1:6" ht="17.25">
      <c r="A25" s="44" t="s">
        <v>22</v>
      </c>
      <c r="B25" s="84" t="str">
        <f>Item12!G20</f>
        <v>I9FLEX MOVEIS PARA ESCRITORIO</v>
      </c>
      <c r="C25" s="85"/>
      <c r="D25" s="85"/>
      <c r="E25" s="85"/>
      <c r="F25" s="86"/>
    </row>
    <row r="26" spans="1:6" ht="76.5">
      <c r="A26" s="41">
        <v>12</v>
      </c>
      <c r="B26" s="42" t="str">
        <f>Item12!B3</f>
        <v>ESTAÇÃO DE ATENDIMENTO ANTEDIMENTO, com as seguintes especificações:  Com 8 lugares  Bancada e painel frontal em mdf 18 mm acabamento em laminado postforming cor branco texturizado.  Painel lateral em mdf 18 mm acabamento em laminado postforming cor azul.  Bancada e painel frontal em mdf 18 mm acabamento em laminado postforming cor branco texturizado. O produto deve ser fornecido considerando todas as especificações acima elencadas assim como as especificadas no projeto constante do Anexo A.1</v>
      </c>
      <c r="C26" s="41" t="str">
        <f>Item12!C3</f>
        <v>unidade</v>
      </c>
      <c r="D26" s="41">
        <f>Item12!D3</f>
        <v>5</v>
      </c>
      <c r="E26" s="43">
        <f>Item12!F3</f>
        <v>3534</v>
      </c>
      <c r="F26" s="43">
        <f>(ROUND(E26,2)*D26)</f>
        <v>17670</v>
      </c>
    </row>
    <row r="27" spans="1:6" ht="63.75">
      <c r="A27" s="41">
        <v>13</v>
      </c>
      <c r="B27" s="42" t="str">
        <f>Item13!B3</f>
        <v xml:space="preserve">CADEIRA DE RODAS, com as seguintes especificações:  Funcionamento manual  Fabricada em aço carbono  Estofamento em nylon  Estrutura dobrável em formato x  Sistema de freios bilaterais reguláveis  Rodas dianteiras de 6” maciças  Rodas traseiras de 24”, injetadas em nylon com pneus maciços  Apoio para os braços fixos e apoio para os pés removível ou retrátil  Apoio para panturrilha  Capacidade mínima para 90 kg.  Largura mínima do assento de 40 cm </v>
      </c>
      <c r="C27" s="41" t="str">
        <f>Item13!C3</f>
        <v>unidade</v>
      </c>
      <c r="D27" s="41">
        <f>Item13!D3</f>
        <v>60</v>
      </c>
      <c r="E27" s="43">
        <f>Item13!F3</f>
        <v>514</v>
      </c>
      <c r="F27" s="43">
        <f>(ROUND(E27,2)*D27)</f>
        <v>30840</v>
      </c>
    </row>
    <row r="28" spans="1:6" ht="15.75">
      <c r="A28" s="38"/>
      <c r="B28" s="38"/>
      <c r="C28" s="77" t="s">
        <v>23</v>
      </c>
      <c r="D28" s="78"/>
      <c r="E28" s="79"/>
      <c r="F28" s="39">
        <f>SUM(F4:F27)</f>
        <v>222622.1</v>
      </c>
    </row>
  </sheetData>
  <mergeCells count="14">
    <mergeCell ref="A1:F1"/>
    <mergeCell ref="B3:F3"/>
    <mergeCell ref="B21:F21"/>
    <mergeCell ref="B23:F23"/>
    <mergeCell ref="B25:F25"/>
    <mergeCell ref="C28:E28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5" manualBreakCount="5">
    <brk id="6" max="5" man="1"/>
    <brk id="16" max="5" man="1"/>
    <brk id="18" max="5" man="1"/>
    <brk id="20" max="5" man="1"/>
    <brk id="24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K10" sqref="K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145</v>
      </c>
      <c r="C3" s="59" t="s">
        <v>8</v>
      </c>
      <c r="D3" s="62">
        <v>50</v>
      </c>
      <c r="E3" s="65">
        <f>IF(C20&lt;=25%,D20,MIN(E20:F20))</f>
        <v>391.98</v>
      </c>
      <c r="F3" s="65">
        <f>MIN(H3:H17)</f>
        <v>94.9</v>
      </c>
      <c r="G3" s="4" t="s">
        <v>113</v>
      </c>
      <c r="H3" s="13">
        <v>2137</v>
      </c>
      <c r="I3" s="29" t="str">
        <f>IF(H3="","",(IF($C$20&lt;25%,"N/A",IF(H3&lt;=($D$20+$A$20),H3,"Descartado"))))</f>
        <v>Descartado</v>
      </c>
    </row>
    <row r="4" spans="1:9">
      <c r="A4" s="55"/>
      <c r="B4" s="57"/>
      <c r="C4" s="60"/>
      <c r="D4" s="63"/>
      <c r="E4" s="66"/>
      <c r="F4" s="66"/>
      <c r="G4" s="4" t="s">
        <v>114</v>
      </c>
      <c r="H4" s="13">
        <v>94.9</v>
      </c>
      <c r="I4" s="29">
        <f t="shared" ref="I4:I17" si="0">IF(H4="","",(IF($C$20&lt;25%,"N/A",IF(H4&lt;=($D$20+$A$20),H4,"Descartado"))))</f>
        <v>94.9</v>
      </c>
    </row>
    <row r="5" spans="1:9">
      <c r="A5" s="55"/>
      <c r="B5" s="57"/>
      <c r="C5" s="60"/>
      <c r="D5" s="63"/>
      <c r="E5" s="66"/>
      <c r="F5" s="66"/>
      <c r="G5" s="4" t="s">
        <v>115</v>
      </c>
      <c r="H5" s="13">
        <v>645</v>
      </c>
      <c r="I5" s="29">
        <f t="shared" si="0"/>
        <v>645</v>
      </c>
    </row>
    <row r="6" spans="1:9">
      <c r="A6" s="55"/>
      <c r="B6" s="57"/>
      <c r="C6" s="60"/>
      <c r="D6" s="63"/>
      <c r="E6" s="66"/>
      <c r="F6" s="66"/>
      <c r="G6" s="4" t="s">
        <v>116</v>
      </c>
      <c r="H6" s="13">
        <v>2310</v>
      </c>
      <c r="I6" s="29" t="str">
        <f t="shared" si="0"/>
        <v>Descartado</v>
      </c>
    </row>
    <row r="7" spans="1:9">
      <c r="A7" s="55"/>
      <c r="B7" s="57"/>
      <c r="C7" s="60"/>
      <c r="D7" s="63"/>
      <c r="E7" s="66"/>
      <c r="F7" s="66"/>
      <c r="G7" s="4" t="s">
        <v>117</v>
      </c>
      <c r="H7" s="13">
        <v>330</v>
      </c>
      <c r="I7" s="29">
        <f t="shared" si="0"/>
        <v>330</v>
      </c>
    </row>
    <row r="8" spans="1:9">
      <c r="A8" s="55"/>
      <c r="B8" s="57"/>
      <c r="C8" s="60"/>
      <c r="D8" s="63"/>
      <c r="E8" s="66"/>
      <c r="F8" s="66"/>
      <c r="G8" s="4" t="s">
        <v>118</v>
      </c>
      <c r="H8" s="13">
        <v>340</v>
      </c>
      <c r="I8" s="29">
        <f t="shared" si="0"/>
        <v>340</v>
      </c>
    </row>
    <row r="9" spans="1:9">
      <c r="A9" s="55"/>
      <c r="B9" s="57"/>
      <c r="C9" s="60"/>
      <c r="D9" s="63"/>
      <c r="E9" s="66"/>
      <c r="F9" s="66"/>
      <c r="G9" s="4" t="s">
        <v>119</v>
      </c>
      <c r="H9" s="13">
        <v>550</v>
      </c>
      <c r="I9" s="29">
        <f t="shared" si="0"/>
        <v>550</v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912.03504083685607</v>
      </c>
      <c r="B20" s="19">
        <f>COUNT(H3:H17)</f>
        <v>7</v>
      </c>
      <c r="C20" s="20">
        <f>IF(B20&lt;2,"N/A",(A20/D20))</f>
        <v>0.99646556845177503</v>
      </c>
      <c r="D20" s="21">
        <f>ROUND(AVERAGE(H3:H17),2)</f>
        <v>915.27</v>
      </c>
      <c r="E20" s="22">
        <f>IFERROR(ROUND(IF(B20&lt;2,"N/A",(IF(C20&lt;=25%,"N/A",AVERAGE(I3:I17)))),2),"N/A")</f>
        <v>391.98</v>
      </c>
      <c r="F20" s="22">
        <f>ROUND(MEDIAN(H3:H17),2)</f>
        <v>550</v>
      </c>
      <c r="G20" s="23" t="str">
        <f>INDEX(G3:G17,MATCH(H20,H3:H17,0))</f>
        <v xml:space="preserve">JWS MONTAGENS E INSTALACOES INDUSTRIAIS LTDA </v>
      </c>
      <c r="H20" s="24">
        <f>MIN(H3:H17)</f>
        <v>94.9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391.98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19599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30" sqref="A30:I3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146</v>
      </c>
      <c r="C3" s="59" t="s">
        <v>8</v>
      </c>
      <c r="D3" s="62">
        <v>20</v>
      </c>
      <c r="E3" s="65">
        <f>IF(C20&lt;=25%,D20,MIN(E20:F20))</f>
        <v>1202.58</v>
      </c>
      <c r="F3" s="65">
        <f>MIN(H3:H17)</f>
        <v>514</v>
      </c>
      <c r="G3" s="4" t="s">
        <v>120</v>
      </c>
      <c r="H3" s="13">
        <v>1269</v>
      </c>
      <c r="I3" s="29">
        <f>IF(H3="","",(IF($C$20&lt;25%,"N/A",IF(H3&lt;=($D$20+$A$20),H3,"Descartado"))))</f>
        <v>1269</v>
      </c>
    </row>
    <row r="4" spans="1:9">
      <c r="A4" s="55"/>
      <c r="B4" s="57"/>
      <c r="C4" s="60"/>
      <c r="D4" s="63"/>
      <c r="E4" s="66"/>
      <c r="F4" s="66"/>
      <c r="G4" s="4" t="s">
        <v>121</v>
      </c>
      <c r="H4" s="13">
        <v>514</v>
      </c>
      <c r="I4" s="29">
        <f t="shared" ref="I4:I17" si="0">IF(H4="","",(IF($C$20&lt;25%,"N/A",IF(H4&lt;=($D$20+$A$20),H4,"Descartado"))))</f>
        <v>514</v>
      </c>
    </row>
    <row r="5" spans="1:9">
      <c r="A5" s="55"/>
      <c r="B5" s="57"/>
      <c r="C5" s="60"/>
      <c r="D5" s="63"/>
      <c r="E5" s="66"/>
      <c r="F5" s="66"/>
      <c r="G5" s="4" t="s">
        <v>122</v>
      </c>
      <c r="H5" s="13">
        <v>2099</v>
      </c>
      <c r="I5" s="29">
        <f t="shared" si="0"/>
        <v>2099</v>
      </c>
    </row>
    <row r="6" spans="1:9">
      <c r="A6" s="55"/>
      <c r="B6" s="57"/>
      <c r="C6" s="60"/>
      <c r="D6" s="63"/>
      <c r="E6" s="66"/>
      <c r="F6" s="66"/>
      <c r="G6" s="4" t="s">
        <v>123</v>
      </c>
      <c r="H6" s="13">
        <v>750</v>
      </c>
      <c r="I6" s="29">
        <f t="shared" si="0"/>
        <v>750</v>
      </c>
    </row>
    <row r="7" spans="1:9">
      <c r="A7" s="55"/>
      <c r="B7" s="57"/>
      <c r="C7" s="60"/>
      <c r="D7" s="63"/>
      <c r="E7" s="66"/>
      <c r="F7" s="66"/>
      <c r="G7" s="4" t="s">
        <v>124</v>
      </c>
      <c r="H7" s="13">
        <v>516</v>
      </c>
      <c r="I7" s="29">
        <f t="shared" si="0"/>
        <v>516</v>
      </c>
    </row>
    <row r="8" spans="1:9">
      <c r="A8" s="55"/>
      <c r="B8" s="57"/>
      <c r="C8" s="60"/>
      <c r="D8" s="63"/>
      <c r="E8" s="66"/>
      <c r="F8" s="66"/>
      <c r="G8" s="4" t="s">
        <v>125</v>
      </c>
      <c r="H8" s="13">
        <v>1846.83</v>
      </c>
      <c r="I8" s="29">
        <f t="shared" si="0"/>
        <v>1846.83</v>
      </c>
    </row>
    <row r="9" spans="1:9">
      <c r="A9" s="55"/>
      <c r="B9" s="57"/>
      <c r="C9" s="60"/>
      <c r="D9" s="63"/>
      <c r="E9" s="66"/>
      <c r="F9" s="66"/>
      <c r="G9" s="4" t="s">
        <v>126</v>
      </c>
      <c r="H9" s="13">
        <v>1137</v>
      </c>
      <c r="I9" s="29">
        <f t="shared" si="0"/>
        <v>1137</v>
      </c>
    </row>
    <row r="10" spans="1:9">
      <c r="A10" s="55"/>
      <c r="B10" s="57"/>
      <c r="C10" s="60"/>
      <c r="D10" s="63"/>
      <c r="E10" s="66"/>
      <c r="F10" s="66"/>
      <c r="G10" s="4" t="s">
        <v>127</v>
      </c>
      <c r="H10" s="13">
        <v>994.4</v>
      </c>
      <c r="I10" s="29">
        <f t="shared" si="0"/>
        <v>994.4</v>
      </c>
    </row>
    <row r="11" spans="1:9">
      <c r="A11" s="55"/>
      <c r="B11" s="57"/>
      <c r="C11" s="60"/>
      <c r="D11" s="63"/>
      <c r="E11" s="66"/>
      <c r="F11" s="66"/>
      <c r="G11" s="4" t="s">
        <v>128</v>
      </c>
      <c r="H11" s="13">
        <v>1697</v>
      </c>
      <c r="I11" s="29">
        <f t="shared" si="0"/>
        <v>1697</v>
      </c>
    </row>
    <row r="12" spans="1:9">
      <c r="A12" s="55"/>
      <c r="B12" s="57"/>
      <c r="C12" s="60"/>
      <c r="D12" s="63"/>
      <c r="E12" s="66"/>
      <c r="F12" s="66"/>
      <c r="G12" s="4" t="s">
        <v>129</v>
      </c>
      <c r="H12" s="13">
        <v>3200</v>
      </c>
      <c r="I12" s="29" t="str">
        <f t="shared" si="0"/>
        <v>Descartado</v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833.74699370505823</v>
      </c>
      <c r="B20" s="19">
        <f>COUNT(H3:H17)</f>
        <v>10</v>
      </c>
      <c r="C20" s="20">
        <f>IF(B20&lt;2,"N/A",(A20/D20))</f>
        <v>0.59454831543803</v>
      </c>
      <c r="D20" s="21">
        <f>ROUND(AVERAGE(H3:H17),2)</f>
        <v>1402.32</v>
      </c>
      <c r="E20" s="22">
        <f>IFERROR(ROUND(IF(B20&lt;2,"N/A",(IF(C20&lt;=25%,"N/A",AVERAGE(I3:I17)))),2),"N/A")</f>
        <v>1202.58</v>
      </c>
      <c r="F20" s="22">
        <f>ROUND(MEDIAN(H3:H17),2)</f>
        <v>1203</v>
      </c>
      <c r="G20" s="23" t="str">
        <f>INDEX(G3:G17,MATCH(H20,H3:H17,0))</f>
        <v xml:space="preserve">BLACK T-SHIRT COMERCIO E REPRESENTACAO LTDA </v>
      </c>
      <c r="H20" s="24">
        <f>MIN(H3:H17)</f>
        <v>514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1202.58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24051.599999999999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9" sqref="B1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157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147</v>
      </c>
      <c r="C3" s="59" t="s">
        <v>8</v>
      </c>
      <c r="D3" s="62">
        <v>5</v>
      </c>
      <c r="E3" s="65">
        <f>IF(C20&lt;=25%,D20,MIN(E20:F20))</f>
        <v>7876.9</v>
      </c>
      <c r="F3" s="65">
        <f>MIN(H3:H17)</f>
        <v>7876.9</v>
      </c>
      <c r="G3" s="4" t="s">
        <v>133</v>
      </c>
      <c r="H3" s="13">
        <v>7876.9</v>
      </c>
      <c r="I3" s="29" t="e">
        <f>IF(H3="","",(IF($C$20&lt;25%,"N/A",IF(H3&lt;=($D$20+$A$20),H3,"Descartado"))))</f>
        <v>#VALUE!</v>
      </c>
    </row>
    <row r="4" spans="1:9">
      <c r="A4" s="55"/>
      <c r="B4" s="57"/>
      <c r="C4" s="60"/>
      <c r="D4" s="63"/>
      <c r="E4" s="66"/>
      <c r="F4" s="66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5"/>
      <c r="B5" s="57"/>
      <c r="C5" s="60"/>
      <c r="D5" s="63"/>
      <c r="E5" s="66"/>
      <c r="F5" s="66"/>
      <c r="G5" s="4"/>
      <c r="H5" s="13"/>
      <c r="I5" s="29" t="str">
        <f t="shared" si="0"/>
        <v/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7876.9</v>
      </c>
      <c r="E20" s="22" t="str">
        <f>IFERROR(ROUND(IF(B20&lt;2,"N/A",(IF(C20&lt;=25%,"N/A",AVERAGE(I3:I17)))),2),"N/A")</f>
        <v>N/A</v>
      </c>
      <c r="F20" s="22">
        <f>ROUND(MEDIAN(H3:H17),2)</f>
        <v>7876.9</v>
      </c>
      <c r="G20" s="23" t="str">
        <f>INDEX(G3:G17,MATCH(H20,H3:H17,0))</f>
        <v>ERGON MOBILE</v>
      </c>
      <c r="H20" s="24">
        <f>MIN(H3:H17)</f>
        <v>7876.9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7876.9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39384.5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2" t="s">
        <v>12</v>
      </c>
      <c r="B1" s="53"/>
      <c r="C1" s="53"/>
      <c r="D1" s="53"/>
      <c r="E1" s="53"/>
      <c r="F1" s="53"/>
      <c r="G1" s="53"/>
      <c r="H1" s="53"/>
      <c r="I1" s="54"/>
    </row>
    <row r="2" spans="1:9" ht="25.5">
      <c r="A2" s="55" t="s">
        <v>48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5"/>
      <c r="B3" s="56" t="s">
        <v>150</v>
      </c>
      <c r="C3" s="59" t="s">
        <v>8</v>
      </c>
      <c r="D3" s="62">
        <v>5</v>
      </c>
      <c r="E3" s="65">
        <f>IF(C20&lt;=25%,D20,MIN(E20:F20))</f>
        <v>6939.45</v>
      </c>
      <c r="F3" s="65">
        <f>MIN(H3:H17)</f>
        <v>1866</v>
      </c>
      <c r="G3" s="4" t="s">
        <v>133</v>
      </c>
      <c r="H3" s="13">
        <v>12012.9</v>
      </c>
      <c r="I3" s="29">
        <f>IF(H3="","",(IF($C$20&lt;25%,"N/A",IF(H3&lt;=($D$20+$A$20),H3,"Descartado"))))</f>
        <v>12012.9</v>
      </c>
    </row>
    <row r="4" spans="1:9">
      <c r="A4" s="55"/>
      <c r="B4" s="57"/>
      <c r="C4" s="60"/>
      <c r="D4" s="63"/>
      <c r="E4" s="66"/>
      <c r="F4" s="66"/>
      <c r="G4" s="4" t="s">
        <v>135</v>
      </c>
      <c r="H4" s="13">
        <v>1866</v>
      </c>
      <c r="I4" s="29">
        <f t="shared" ref="I4:I17" si="0">IF(H4="","",(IF($C$20&lt;25%,"N/A",IF(H4&lt;=($D$20+$A$20),H4,"Descartado"))))</f>
        <v>1866</v>
      </c>
    </row>
    <row r="5" spans="1:9">
      <c r="A5" s="55"/>
      <c r="B5" s="57"/>
      <c r="C5" s="60"/>
      <c r="D5" s="63"/>
      <c r="E5" s="66"/>
      <c r="F5" s="66"/>
      <c r="G5" s="4"/>
      <c r="H5" s="13"/>
      <c r="I5" s="29" t="str">
        <f t="shared" si="0"/>
        <v/>
      </c>
    </row>
    <row r="6" spans="1:9">
      <c r="A6" s="55"/>
      <c r="B6" s="57"/>
      <c r="C6" s="60"/>
      <c r="D6" s="63"/>
      <c r="E6" s="66"/>
      <c r="F6" s="66"/>
      <c r="G6" s="4"/>
      <c r="H6" s="13"/>
      <c r="I6" s="29" t="str">
        <f t="shared" si="0"/>
        <v/>
      </c>
    </row>
    <row r="7" spans="1:9">
      <c r="A7" s="55"/>
      <c r="B7" s="57"/>
      <c r="C7" s="60"/>
      <c r="D7" s="63"/>
      <c r="E7" s="66"/>
      <c r="F7" s="66"/>
      <c r="G7" s="4"/>
      <c r="H7" s="13"/>
      <c r="I7" s="29" t="str">
        <f t="shared" si="0"/>
        <v/>
      </c>
    </row>
    <row r="8" spans="1:9">
      <c r="A8" s="55"/>
      <c r="B8" s="57"/>
      <c r="C8" s="60"/>
      <c r="D8" s="63"/>
      <c r="E8" s="66"/>
      <c r="F8" s="66"/>
      <c r="G8" s="4"/>
      <c r="H8" s="13"/>
      <c r="I8" s="29" t="str">
        <f t="shared" si="0"/>
        <v/>
      </c>
    </row>
    <row r="9" spans="1:9">
      <c r="A9" s="55"/>
      <c r="B9" s="57"/>
      <c r="C9" s="60"/>
      <c r="D9" s="63"/>
      <c r="E9" s="66"/>
      <c r="F9" s="66"/>
      <c r="G9" s="4"/>
      <c r="H9" s="13"/>
      <c r="I9" s="29" t="str">
        <f t="shared" si="0"/>
        <v/>
      </c>
    </row>
    <row r="10" spans="1:9">
      <c r="A10" s="55"/>
      <c r="B10" s="57"/>
      <c r="C10" s="60"/>
      <c r="D10" s="63"/>
      <c r="E10" s="66"/>
      <c r="F10" s="66"/>
      <c r="G10" s="4"/>
      <c r="H10" s="13"/>
      <c r="I10" s="29" t="str">
        <f t="shared" si="0"/>
        <v/>
      </c>
    </row>
    <row r="11" spans="1:9">
      <c r="A11" s="55"/>
      <c r="B11" s="57"/>
      <c r="C11" s="60"/>
      <c r="D11" s="63"/>
      <c r="E11" s="66"/>
      <c r="F11" s="66"/>
      <c r="G11" s="4"/>
      <c r="H11" s="13"/>
      <c r="I11" s="29" t="str">
        <f t="shared" si="0"/>
        <v/>
      </c>
    </row>
    <row r="12" spans="1:9">
      <c r="A12" s="55"/>
      <c r="B12" s="57"/>
      <c r="C12" s="60"/>
      <c r="D12" s="63"/>
      <c r="E12" s="66"/>
      <c r="F12" s="66"/>
      <c r="G12" s="4"/>
      <c r="H12" s="13"/>
      <c r="I12" s="29" t="str">
        <f t="shared" si="0"/>
        <v/>
      </c>
    </row>
    <row r="13" spans="1:9">
      <c r="A13" s="55"/>
      <c r="B13" s="57"/>
      <c r="C13" s="60"/>
      <c r="D13" s="63"/>
      <c r="E13" s="66"/>
      <c r="F13" s="66"/>
      <c r="G13" s="4"/>
      <c r="H13" s="13"/>
      <c r="I13" s="29" t="str">
        <f t="shared" si="0"/>
        <v/>
      </c>
    </row>
    <row r="14" spans="1:9">
      <c r="A14" s="55"/>
      <c r="B14" s="57"/>
      <c r="C14" s="60"/>
      <c r="D14" s="63"/>
      <c r="E14" s="66"/>
      <c r="F14" s="66"/>
      <c r="G14" s="4"/>
      <c r="H14" s="13"/>
      <c r="I14" s="29" t="str">
        <f t="shared" si="0"/>
        <v/>
      </c>
    </row>
    <row r="15" spans="1:9">
      <c r="A15" s="55"/>
      <c r="B15" s="57"/>
      <c r="C15" s="60"/>
      <c r="D15" s="63"/>
      <c r="E15" s="66"/>
      <c r="F15" s="66"/>
      <c r="G15" s="4"/>
      <c r="H15" s="13"/>
      <c r="I15" s="29" t="str">
        <f t="shared" si="0"/>
        <v/>
      </c>
    </row>
    <row r="16" spans="1:9">
      <c r="A16" s="55"/>
      <c r="B16" s="57"/>
      <c r="C16" s="60"/>
      <c r="D16" s="63"/>
      <c r="E16" s="66"/>
      <c r="F16" s="66"/>
      <c r="G16" s="4"/>
      <c r="H16" s="13"/>
      <c r="I16" s="29" t="str">
        <f t="shared" si="0"/>
        <v/>
      </c>
    </row>
    <row r="17" spans="1:11">
      <c r="A17" s="55"/>
      <c r="B17" s="58"/>
      <c r="C17" s="61"/>
      <c r="D17" s="64"/>
      <c r="E17" s="67"/>
      <c r="F17" s="67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4" t="s">
        <v>34</v>
      </c>
      <c r="H19" s="75"/>
      <c r="I19" s="31"/>
    </row>
    <row r="20" spans="1:11">
      <c r="A20" s="19">
        <f>IF(B20&lt;2,"N/A",(STDEV(H3:H17)))</f>
        <v>7174.9417980217795</v>
      </c>
      <c r="B20" s="19">
        <f>COUNT(H3:H17)</f>
        <v>2</v>
      </c>
      <c r="C20" s="20">
        <f>IF(B20&lt;2,"N/A",(A20/D20))</f>
        <v>1.033935225129049</v>
      </c>
      <c r="D20" s="21">
        <f>ROUND(AVERAGE(H3:H17),2)</f>
        <v>6939.45</v>
      </c>
      <c r="E20" s="22">
        <f>IFERROR(ROUND(IF(B20&lt;2,"N/A",(IF(C20&lt;=25%,"N/A",AVERAGE(I3:I17)))),2),"N/A")</f>
        <v>6939.45</v>
      </c>
      <c r="F20" s="22">
        <f>ROUND(MEDIAN(H3:H17),2)</f>
        <v>6939.45</v>
      </c>
      <c r="G20" s="23" t="str">
        <f>INDEX(G3:G17,MATCH(H20,H3:H17,0))</f>
        <v>I9FLEX MOVEIS PARA ESCRITORIO</v>
      </c>
      <c r="H20" s="24">
        <f>MIN(H3:H17)</f>
        <v>1866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6"/>
      <c r="E22" s="76"/>
      <c r="F22" s="35"/>
      <c r="G22" s="25" t="s">
        <v>41</v>
      </c>
      <c r="H22" s="26">
        <f>IF(C20&lt;=25%,D20,MIN(E20:F20))</f>
        <v>6939.45</v>
      </c>
    </row>
    <row r="23" spans="1:11">
      <c r="B23" s="32"/>
      <c r="C23" s="32"/>
      <c r="D23" s="76"/>
      <c r="E23" s="76"/>
      <c r="F23" s="36"/>
      <c r="G23" s="27" t="s">
        <v>9</v>
      </c>
      <c r="H23" s="28">
        <f>ROUND(H22,2)*D3</f>
        <v>34697.25</v>
      </c>
    </row>
    <row r="24" spans="1:11">
      <c r="B24" s="37"/>
      <c r="C24" s="37"/>
      <c r="D24" s="31"/>
      <c r="E24" s="31"/>
    </row>
    <row r="26" spans="1:11">
      <c r="A26" s="68" t="s">
        <v>25</v>
      </c>
      <c r="B26" s="69"/>
      <c r="C26" s="69"/>
      <c r="D26" s="69"/>
      <c r="E26" s="69"/>
      <c r="F26" s="69"/>
      <c r="G26" s="69"/>
      <c r="H26" s="69"/>
      <c r="I26" s="70"/>
    </row>
    <row r="27" spans="1:11" ht="12.75" customHeight="1">
      <c r="A27" s="68" t="s">
        <v>26</v>
      </c>
      <c r="B27" s="69"/>
      <c r="C27" s="69"/>
      <c r="D27" s="69"/>
      <c r="E27" s="69"/>
      <c r="F27" s="69"/>
      <c r="G27" s="69"/>
      <c r="H27" s="69"/>
      <c r="I27" s="70"/>
    </row>
    <row r="28" spans="1:11" ht="12.75" customHeight="1">
      <c r="A28" s="68" t="s">
        <v>27</v>
      </c>
      <c r="B28" s="69"/>
      <c r="C28" s="69"/>
      <c r="D28" s="69"/>
      <c r="E28" s="69"/>
      <c r="F28" s="69"/>
      <c r="G28" s="69"/>
      <c r="H28" s="69"/>
      <c r="I28" s="70"/>
    </row>
    <row r="29" spans="1:11">
      <c r="A29" s="68" t="s">
        <v>28</v>
      </c>
      <c r="B29" s="69"/>
      <c r="C29" s="69"/>
      <c r="D29" s="69"/>
      <c r="E29" s="69"/>
      <c r="F29" s="69"/>
      <c r="G29" s="69"/>
      <c r="H29" s="69"/>
      <c r="I29" s="70"/>
    </row>
    <row r="30" spans="1:11" ht="12.75" customHeight="1">
      <c r="A30" s="68" t="s">
        <v>29</v>
      </c>
      <c r="B30" s="69"/>
      <c r="C30" s="69"/>
      <c r="D30" s="69"/>
      <c r="E30" s="69"/>
      <c r="F30" s="69"/>
      <c r="G30" s="69"/>
      <c r="H30" s="69"/>
      <c r="I30" s="70"/>
    </row>
    <row r="31" spans="1:11" ht="12.75" customHeight="1">
      <c r="A31" s="68" t="s">
        <v>30</v>
      </c>
      <c r="B31" s="69"/>
      <c r="C31" s="69"/>
      <c r="D31" s="69"/>
      <c r="E31" s="69"/>
      <c r="F31" s="69"/>
      <c r="G31" s="69"/>
      <c r="H31" s="69"/>
      <c r="I31" s="70"/>
    </row>
    <row r="32" spans="1:11" ht="24.75" customHeight="1">
      <c r="A32" s="71" t="s">
        <v>31</v>
      </c>
      <c r="B32" s="72"/>
      <c r="C32" s="72"/>
      <c r="D32" s="72"/>
      <c r="E32" s="72"/>
      <c r="F32" s="72"/>
      <c r="G32" s="72"/>
      <c r="H32" s="72"/>
      <c r="I32" s="7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4</vt:i4>
      </vt:variant>
    </vt:vector>
  </HeadingPairs>
  <TitlesOfParts>
    <vt:vector size="5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2023-08-18T16:46:12Z</cp:lastPrinted>
  <dcterms:created xsi:type="dcterms:W3CDTF">2019-01-16T20:04:04Z</dcterms:created>
  <dcterms:modified xsi:type="dcterms:W3CDTF">2023-09-29T18:15:38Z</dcterms:modified>
</cp:coreProperties>
</file>