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tabRatio="661" activeTab="11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40" r:id="rId8"/>
    <sheet name="Item9" sheetId="41" r:id="rId9"/>
    <sheet name="Item10" sheetId="42" r:id="rId10"/>
    <sheet name="Item12" sheetId="76" state="hidden" r:id="rId11"/>
    <sheet name="TOTAL" sheetId="5" r:id="rId12"/>
  </sheets>
  <definedNames>
    <definedName name="_xlnm.Print_Area" localSheetId="11">TOTAL!$A$1:$F$32</definedName>
  </definedNames>
  <calcPr calcId="152511"/>
</workbook>
</file>

<file path=xl/calcChain.xml><?xml version="1.0" encoding="utf-8"?>
<calcChain xmlns="http://schemas.openxmlformats.org/spreadsheetml/2006/main">
  <c r="D22" i="5" l="1"/>
  <c r="C22" i="5"/>
  <c r="B22" i="5"/>
  <c r="D21" i="5"/>
  <c r="C21" i="5"/>
  <c r="B21" i="5"/>
  <c r="H20" i="76"/>
  <c r="G20" i="76" s="1"/>
  <c r="F20" i="76"/>
  <c r="D20" i="76"/>
  <c r="B20" i="76"/>
  <c r="E20" i="76" s="1"/>
  <c r="I17" i="76"/>
  <c r="I16" i="76"/>
  <c r="I15" i="76"/>
  <c r="I14" i="76"/>
  <c r="I13" i="76"/>
  <c r="I12" i="76"/>
  <c r="I11" i="76"/>
  <c r="I10" i="76"/>
  <c r="I9" i="76"/>
  <c r="I8" i="76"/>
  <c r="I7" i="76"/>
  <c r="I6" i="76"/>
  <c r="I5" i="76"/>
  <c r="I4" i="76"/>
  <c r="I3" i="76"/>
  <c r="F3" i="76"/>
  <c r="A20" i="76" l="1"/>
  <c r="C20" i="76"/>
  <c r="C27" i="5"/>
  <c r="D27" i="5"/>
  <c r="B27" i="5"/>
  <c r="C16" i="5"/>
  <c r="D16" i="5"/>
  <c r="B16" i="5"/>
  <c r="C15" i="5"/>
  <c r="D15" i="5"/>
  <c r="B15" i="5"/>
  <c r="C14" i="5"/>
  <c r="D14" i="5"/>
  <c r="B14" i="5"/>
  <c r="C13" i="5"/>
  <c r="D13" i="5"/>
  <c r="B13" i="5"/>
  <c r="C12" i="5"/>
  <c r="D12" i="5"/>
  <c r="B12" i="5"/>
  <c r="C11" i="5"/>
  <c r="D11" i="5"/>
  <c r="B11" i="5"/>
  <c r="C10" i="5"/>
  <c r="D10" i="5"/>
  <c r="B10" i="5"/>
  <c r="H20" i="75"/>
  <c r="G20" i="75" s="1"/>
  <c r="F20" i="75"/>
  <c r="D20" i="75"/>
  <c r="B20" i="75"/>
  <c r="I17" i="75"/>
  <c r="I16" i="75"/>
  <c r="I15" i="75"/>
  <c r="I14" i="75"/>
  <c r="I13" i="75"/>
  <c r="I12" i="75"/>
  <c r="I11" i="75"/>
  <c r="I10" i="75"/>
  <c r="I9" i="75"/>
  <c r="I8" i="75"/>
  <c r="I7" i="75"/>
  <c r="F3" i="75"/>
  <c r="H20" i="74"/>
  <c r="G20" i="74" s="1"/>
  <c r="F20" i="74"/>
  <c r="D20" i="74"/>
  <c r="B20" i="74"/>
  <c r="I17" i="74"/>
  <c r="I16" i="74"/>
  <c r="I15" i="74"/>
  <c r="I14" i="74"/>
  <c r="I13" i="74"/>
  <c r="F3" i="74"/>
  <c r="H20" i="73"/>
  <c r="G20" i="73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F3" i="73"/>
  <c r="H20" i="72"/>
  <c r="G20" i="72" s="1"/>
  <c r="F20" i="72"/>
  <c r="D20" i="72"/>
  <c r="B20" i="72"/>
  <c r="A20" i="72" s="1"/>
  <c r="I17" i="72"/>
  <c r="I16" i="72"/>
  <c r="I15" i="72"/>
  <c r="I14" i="72"/>
  <c r="I13" i="72"/>
  <c r="I12" i="72"/>
  <c r="I11" i="72"/>
  <c r="I10" i="72"/>
  <c r="F3" i="72"/>
  <c r="H20" i="71"/>
  <c r="G20" i="71" s="1"/>
  <c r="F20" i="71"/>
  <c r="D20" i="71"/>
  <c r="B20" i="71"/>
  <c r="A20" i="71" s="1"/>
  <c r="C20" i="71" s="1"/>
  <c r="I6" i="71" s="1"/>
  <c r="I17" i="71"/>
  <c r="I16" i="71"/>
  <c r="I15" i="71"/>
  <c r="I14" i="71"/>
  <c r="I13" i="71"/>
  <c r="I12" i="71"/>
  <c r="I11" i="71"/>
  <c r="I10" i="71"/>
  <c r="I9" i="71"/>
  <c r="I8" i="71"/>
  <c r="I7" i="71"/>
  <c r="F3" i="71"/>
  <c r="H20" i="70"/>
  <c r="G20" i="70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F3" i="70"/>
  <c r="H20" i="42"/>
  <c r="G20" i="42" s="1"/>
  <c r="F20" i="42"/>
  <c r="D20" i="42"/>
  <c r="B20" i="42"/>
  <c r="I17" i="42"/>
  <c r="I16" i="42"/>
  <c r="I15" i="42"/>
  <c r="I14" i="42"/>
  <c r="I13" i="42"/>
  <c r="I12" i="42"/>
  <c r="I11" i="42"/>
  <c r="I10" i="42"/>
  <c r="I9" i="42"/>
  <c r="I8" i="42"/>
  <c r="I7" i="42"/>
  <c r="F3" i="42"/>
  <c r="H20" i="41"/>
  <c r="G20" i="41" s="1"/>
  <c r="F20" i="41"/>
  <c r="D20" i="41"/>
  <c r="B20" i="41"/>
  <c r="A20" i="41" s="1"/>
  <c r="I17" i="41"/>
  <c r="I16" i="41"/>
  <c r="I15" i="41"/>
  <c r="I14" i="41"/>
  <c r="I13" i="41"/>
  <c r="I12" i="41"/>
  <c r="F3" i="41"/>
  <c r="H20" i="40"/>
  <c r="G20" i="40" s="1"/>
  <c r="F20" i="40"/>
  <c r="D20" i="40"/>
  <c r="B20" i="40"/>
  <c r="I17" i="40"/>
  <c r="I16" i="40"/>
  <c r="I15" i="40"/>
  <c r="I14" i="40"/>
  <c r="F3" i="40"/>
  <c r="H20" i="38"/>
  <c r="G20" i="38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I8" i="38"/>
  <c r="I7" i="38"/>
  <c r="F3" i="38"/>
  <c r="C20" i="41" l="1"/>
  <c r="I11" i="41" s="1"/>
  <c r="C20" i="72"/>
  <c r="H22" i="76"/>
  <c r="H23" i="76" s="1"/>
  <c r="E3" i="76"/>
  <c r="I3" i="71"/>
  <c r="I4" i="71"/>
  <c r="I5" i="71"/>
  <c r="A20" i="73"/>
  <c r="C20" i="73" s="1"/>
  <c r="I8" i="73" s="1"/>
  <c r="A20" i="75"/>
  <c r="C20" i="75" s="1"/>
  <c r="I6" i="75" s="1"/>
  <c r="A20" i="70"/>
  <c r="C20" i="70" s="1"/>
  <c r="I6" i="70" s="1"/>
  <c r="A20" i="74"/>
  <c r="C20" i="74" s="1"/>
  <c r="I12" i="74" s="1"/>
  <c r="A20" i="38"/>
  <c r="C20" i="38" s="1"/>
  <c r="I6" i="38" s="1"/>
  <c r="A20" i="42"/>
  <c r="C20" i="42" s="1"/>
  <c r="I6" i="42" s="1"/>
  <c r="A20" i="40"/>
  <c r="C20" i="40" s="1"/>
  <c r="I12" i="40" l="1"/>
  <c r="I13" i="40"/>
  <c r="I10" i="40"/>
  <c r="I11" i="40"/>
  <c r="I8" i="40"/>
  <c r="I9" i="40"/>
  <c r="I6" i="40"/>
  <c r="I7" i="40"/>
  <c r="I10" i="74"/>
  <c r="I11" i="74"/>
  <c r="I8" i="74"/>
  <c r="I9" i="74"/>
  <c r="I6" i="74"/>
  <c r="I7" i="74"/>
  <c r="I9" i="41"/>
  <c r="I10" i="41"/>
  <c r="I7" i="41"/>
  <c r="I8" i="41"/>
  <c r="I4" i="41"/>
  <c r="I6" i="41"/>
  <c r="I5" i="41"/>
  <c r="I3" i="41"/>
  <c r="I8" i="72"/>
  <c r="I9" i="72"/>
  <c r="I6" i="72"/>
  <c r="I7" i="72"/>
  <c r="I3" i="72"/>
  <c r="I5" i="72"/>
  <c r="I4" i="72"/>
  <c r="I6" i="73"/>
  <c r="I7" i="73"/>
  <c r="E20" i="71"/>
  <c r="E3" i="71" s="1"/>
  <c r="E11" i="5" s="1"/>
  <c r="F11" i="5" s="1"/>
  <c r="I5" i="73"/>
  <c r="I4" i="73"/>
  <c r="I3" i="73"/>
  <c r="I3" i="75"/>
  <c r="I5" i="75"/>
  <c r="I4" i="75"/>
  <c r="I4" i="74"/>
  <c r="I5" i="74"/>
  <c r="I3" i="74"/>
  <c r="I4" i="70"/>
  <c r="I5" i="70"/>
  <c r="I3" i="70"/>
  <c r="E20" i="70" s="1"/>
  <c r="E3" i="70" s="1"/>
  <c r="E10" i="5" s="1"/>
  <c r="F10" i="5" s="1"/>
  <c r="I4" i="42"/>
  <c r="E20" i="42" s="1"/>
  <c r="I3" i="42"/>
  <c r="I5" i="42"/>
  <c r="I4" i="38"/>
  <c r="I3" i="38"/>
  <c r="I5" i="38"/>
  <c r="I5" i="40"/>
  <c r="I4" i="40"/>
  <c r="I3" i="40"/>
  <c r="E20" i="40" l="1"/>
  <c r="H22" i="40" s="1"/>
  <c r="H23" i="40" s="1"/>
  <c r="E20" i="74"/>
  <c r="H22" i="74" s="1"/>
  <c r="H23" i="74" s="1"/>
  <c r="E20" i="41"/>
  <c r="E3" i="41" s="1"/>
  <c r="E22" i="5" s="1"/>
  <c r="F22" i="5" s="1"/>
  <c r="E20" i="38"/>
  <c r="H22" i="38" s="1"/>
  <c r="H23" i="38" s="1"/>
  <c r="E20" i="72"/>
  <c r="H22" i="72" s="1"/>
  <c r="H23" i="72" s="1"/>
  <c r="E20" i="73"/>
  <c r="E3" i="73" s="1"/>
  <c r="E13" i="5" s="1"/>
  <c r="F13" i="5" s="1"/>
  <c r="E20" i="75"/>
  <c r="E3" i="75" s="1"/>
  <c r="E15" i="5" s="1"/>
  <c r="F15" i="5" s="1"/>
  <c r="H22" i="71"/>
  <c r="H23" i="71" s="1"/>
  <c r="H22" i="70"/>
  <c r="H23" i="70" s="1"/>
  <c r="H22" i="42"/>
  <c r="H23" i="42" s="1"/>
  <c r="E3" i="42"/>
  <c r="E27" i="5" s="1"/>
  <c r="F27" i="5" s="1"/>
  <c r="F28" i="5" l="1"/>
  <c r="F29" i="5"/>
  <c r="E3" i="40"/>
  <c r="E21" i="5" s="1"/>
  <c r="E3" i="74"/>
  <c r="E14" i="5" s="1"/>
  <c r="F14" i="5" s="1"/>
  <c r="H22" i="41"/>
  <c r="H23" i="41" s="1"/>
  <c r="E3" i="38"/>
  <c r="E16" i="5" s="1"/>
  <c r="F16" i="5" s="1"/>
  <c r="E3" i="72"/>
  <c r="E12" i="5" s="1"/>
  <c r="F12" i="5" s="1"/>
  <c r="H22" i="73"/>
  <c r="H23" i="73" s="1"/>
  <c r="H22" i="75"/>
  <c r="H23" i="75" s="1"/>
  <c r="F21" i="5" l="1"/>
  <c r="F23" i="5" s="1"/>
  <c r="F30" i="5"/>
  <c r="F18" i="5"/>
  <c r="F17" i="5"/>
  <c r="F32" i="5" l="1"/>
</calcChain>
</file>

<file path=xl/sharedStrings.xml><?xml version="1.0" encoding="utf-8"?>
<sst xmlns="http://schemas.openxmlformats.org/spreadsheetml/2006/main" count="399" uniqueCount="118">
  <si>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</si>
  <si>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</si>
  <si>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</si>
  <si>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</si>
  <si>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</si>
  <si>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</si>
  <si>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</si>
  <si>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</si>
  <si>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</si>
  <si>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</si>
  <si>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</si>
  <si>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</si>
  <si>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</si>
  <si>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</si>
  <si>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Item</t>
  </si>
  <si>
    <t>Descrição</t>
  </si>
  <si>
    <t>Unidade de Fornecimento</t>
  </si>
  <si>
    <t>Quantidade</t>
  </si>
  <si>
    <t>Valor Total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</si>
  <si>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</si>
  <si>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</si>
  <si>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</si>
  <si>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</si>
  <si>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</si>
  <si>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</si>
  <si>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</si>
  <si>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</si>
  <si>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</si>
  <si>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</si>
  <si>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</si>
  <si>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</si>
  <si>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</si>
  <si>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</si>
  <si>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</si>
  <si>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</si>
  <si>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</si>
  <si>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</si>
  <si>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</si>
  <si>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</si>
  <si>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9</t>
  </si>
  <si>
    <t>ITEM 10</t>
  </si>
  <si>
    <t>ITEM 11</t>
  </si>
  <si>
    <t>Camisa</t>
  </si>
  <si>
    <t>Calça</t>
  </si>
  <si>
    <t>Cinto</t>
  </si>
  <si>
    <t>Meia de algodão</t>
  </si>
  <si>
    <t>par</t>
  </si>
  <si>
    <t>Sapato fechado ou tênis</t>
  </si>
  <si>
    <t>Crachá</t>
  </si>
  <si>
    <t>Jaleco (somente para o Auxiliar Administrativo II)</t>
  </si>
  <si>
    <t>luvas descartáveis (somente para Auxiliar Administrativo II)</t>
  </si>
  <si>
    <t>ITEM 12</t>
  </si>
  <si>
    <t>relógio de ponto</t>
  </si>
  <si>
    <t>uniformes - auxiliar administrativo II</t>
  </si>
  <si>
    <t>RESULTADO DA ESTIMATIVA - uniformes</t>
  </si>
  <si>
    <t>RESULTADO DA ESTIMATIVA - equipamentos de proteção individual</t>
  </si>
  <si>
    <t>EPIs - auxiliar administrativo II</t>
  </si>
  <si>
    <t>RESULTADO DA ESTIMATIVA - equipamentos</t>
  </si>
  <si>
    <t>A P F DE CARVALHO</t>
  </si>
  <si>
    <t>OMEGA JEANS LTDA</t>
  </si>
  <si>
    <t>PROMAC COMERCIAL LTDA</t>
  </si>
  <si>
    <t>JOSE ENIO NASCIMENTO SANTIAGO EIRELI</t>
  </si>
  <si>
    <t>J. G. DE SOUSA GRAFICA E EDITORA</t>
  </si>
  <si>
    <t>MARICLEYDSON COSTA DA SILVA EIRELI</t>
  </si>
  <si>
    <t>CATARINA FERREIRA DE SOUSA</t>
  </si>
  <si>
    <t>WALVICK LTDA</t>
  </si>
  <si>
    <t>SMART POINT LTDA</t>
  </si>
  <si>
    <t>SOLTECH COMECIO E SERVICOS ELETRONICOS E ELETRICOS EIRELI</t>
  </si>
  <si>
    <t>FERNANDO F ARAUJO COMERCIO E SERVICOS DE INFORMATICA EIRELI</t>
  </si>
  <si>
    <t>ATOMO PRESTACAO DE SERVICOS E COMERCIO LTDA</t>
  </si>
  <si>
    <t>RENILSON MACHADO</t>
  </si>
  <si>
    <t>L.H.C COMERCIO E SERVICOS LTDA</t>
  </si>
  <si>
    <t>RACA &amp; DANCIN CONFECCOES LTDA</t>
  </si>
  <si>
    <t>NM CONFECCOES LTDA</t>
  </si>
  <si>
    <t>LAMED COMERCIO E REPRESENTACAO LTDA.</t>
  </si>
  <si>
    <t>PROSAUDE MATERIAL MEDICO HOSPITALAR EIRELI</t>
  </si>
  <si>
    <t>CENTER EPI COMERCIO LTDA</t>
  </si>
  <si>
    <t>BORDAKI INDUSTRIA E COMERCIO LTDA</t>
  </si>
  <si>
    <t>NEXT SOLUCOES INTEGRADAS LTDA</t>
  </si>
  <si>
    <t>PREMIERSEG INDUSTRIA E COMERCIO LTDA</t>
  </si>
  <si>
    <t>NOEMIA PAUMANN ANDRADE &amp; CIA LTDA</t>
  </si>
  <si>
    <t>NASCELIO BARBOSA ALVES 08589362400</t>
  </si>
  <si>
    <t>LEAO COMERCIO DE MULTI UTILIDADES LTDA</t>
  </si>
  <si>
    <t>RECAMONDE ARTEFATOS DE COURO LTDA</t>
  </si>
  <si>
    <t>CLARUS COMERCIO DE EPI</t>
  </si>
  <si>
    <t>SAUDE COMERCIO DE PRODUTOS HOSPITALARES LTDA</t>
  </si>
  <si>
    <t>DISMED - DISTRIBUIDORA DE MEDICAMENTOS LTDA</t>
  </si>
  <si>
    <t>GTMED DISTRIBUIDORA DE MATERIAIS E EQUIPAMENTOS HOSPITALARES E ODONTOLOGICOS LTD</t>
  </si>
  <si>
    <t>GLOBAL COMERCIAL EIRELI</t>
  </si>
  <si>
    <t>M. A. SILVA - EQUIPAMENTOS HOSPITALARES</t>
  </si>
  <si>
    <t>HOSP MEDICAL - COMERCIO DE MATERIAL MEDICO E MEDICAMENTOS HOSPITALARES LTDA</t>
  </si>
  <si>
    <t>RJ 3030 COMERCIOBAZAR E SERVICOS EIRELI</t>
  </si>
  <si>
    <t>INTERJET COMERCIAL EIRELI</t>
  </si>
  <si>
    <t>V&amp;R PAPELARIA E SUPRIMENTOS DE INFORMATICA LTDA</t>
  </si>
  <si>
    <t>H W COMERCIO E EMPREENDIMENTOS LTDA</t>
  </si>
  <si>
    <t>R.P FERRAGENS LTDA</t>
  </si>
  <si>
    <t>RP COMERCIAL LTDA</t>
  </si>
  <si>
    <t>PROMIX COMERCIO E SERVICOS LTDA</t>
  </si>
  <si>
    <t>ELEGANCE CRIACOES E CONFECCOES LTDA</t>
  </si>
  <si>
    <t>APIGUANA MAQUINAS E FERRAMENTAS LTDA</t>
  </si>
  <si>
    <t>TOPDESC INDUSTRIA E COMERCIO DE ACESSORIOS PARA SEGURANCA LTDA</t>
  </si>
  <si>
    <t>PROLINE MATERIAL HOSPITALAR - EIRELI</t>
  </si>
  <si>
    <t>MASTERSUL EQUIPAMENTOS DE SEGURANCA LTDA</t>
  </si>
  <si>
    <t>THE BEST PHARMA LTDA</t>
  </si>
  <si>
    <t>JOB COMERCIO E REPRESENTACOES LTDA</t>
  </si>
  <si>
    <t>RJ 3030 COMERCIO BAZAR E SERVICOS EIRELI</t>
  </si>
  <si>
    <t>SILEL INDUSTRIA DE CONFECCOES LTDA</t>
  </si>
  <si>
    <t>L C I COMERCIO DE MATERIAL DE CONSTRUCAO E SERVICOS EIRELI</t>
  </si>
  <si>
    <t>CRISTINA DE OLIVEIRA CAMPOS CARVALHO</t>
  </si>
  <si>
    <t>PLANED COMERCIO E SERVICOS EIRELI</t>
  </si>
  <si>
    <t>BDS CONFECCOES E SERIGRAFIA LTDA</t>
  </si>
  <si>
    <t>LICCS COMERCIO E SERVICOS DO VESTUARIO EIREL</t>
  </si>
  <si>
    <t>manutenção mensal</t>
  </si>
  <si>
    <t>depreciação mensal (8 anos - residual de 20%)</t>
  </si>
  <si>
    <t>total mensal</t>
  </si>
  <si>
    <t>máscaras descartáveis (para Auxiliar Administrativo II durante toda a execução)</t>
  </si>
  <si>
    <t>uniformes - demais postos</t>
  </si>
  <si>
    <t>quantidade de postos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</si>
</sst>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[$R$-416]\ #,##0.00;[Red]\-[$R$-416]\ #,##0.00"/>
    <numFmt numFmtId="165" formatCode="#,##0_ ;\-#,##0\ 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95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1" xfId="0" applyFont="1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0" fontId="16" fillId="0" borderId="21" xfId="0" applyFont="1" applyFill="1" applyBorder="1" applyAlignment="1">
      <alignment wrapText="1"/>
    </xf>
    <xf numFmtId="44" fontId="16" fillId="12" borderId="7" xfId="0" applyNumberFormat="1" applyFont="1" applyFill="1" applyBorder="1" applyAlignment="1">
      <alignment vertical="center" wrapText="1"/>
    </xf>
    <xf numFmtId="10" fontId="17" fillId="12" borderId="17" xfId="0" applyNumberFormat="1" applyFont="1" applyFill="1" applyBorder="1" applyAlignment="1">
      <alignment wrapText="1"/>
    </xf>
    <xf numFmtId="44" fontId="16" fillId="12" borderId="7" xfId="0" applyNumberFormat="1" applyFont="1" applyFill="1" applyBorder="1" applyAlignment="1">
      <alignment wrapText="1"/>
    </xf>
    <xf numFmtId="165" fontId="16" fillId="12" borderId="7" xfId="0" applyNumberFormat="1" applyFont="1" applyFill="1" applyBorder="1" applyAlignment="1">
      <alignment horizontal="center" vertical="center"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2" fillId="12" borderId="18" xfId="0" applyFont="1" applyFill="1" applyBorder="1" applyAlignment="1">
      <alignment wrapText="1"/>
    </xf>
    <xf numFmtId="0" fontId="12" fillId="12" borderId="22" xfId="0" applyFont="1" applyFill="1" applyBorder="1" applyAlignment="1">
      <alignment wrapText="1"/>
    </xf>
    <xf numFmtId="0" fontId="12" fillId="12" borderId="18" xfId="0" applyFont="1" applyFill="1" applyBorder="1" applyAlignment="1">
      <alignment horizontal="left" wrapText="1"/>
    </xf>
    <xf numFmtId="0" fontId="12" fillId="12" borderId="22" xfId="0" applyFont="1" applyFill="1" applyBorder="1" applyAlignment="1">
      <alignment horizontal="left" wrapText="1"/>
    </xf>
    <xf numFmtId="0" fontId="12" fillId="12" borderId="23" xfId="0" applyFont="1" applyFill="1" applyBorder="1" applyAlignment="1">
      <alignment horizontal="left" wrapText="1"/>
    </xf>
    <xf numFmtId="0" fontId="17" fillId="12" borderId="18" xfId="0" applyFont="1" applyFill="1" applyBorder="1" applyAlignment="1">
      <alignment horizontal="center" wrapText="1"/>
    </xf>
    <xf numFmtId="0" fontId="17" fillId="12" borderId="19" xfId="0" applyFont="1" applyFill="1" applyBorder="1" applyAlignment="1">
      <alignment horizontal="center" wrapText="1"/>
    </xf>
    <xf numFmtId="0" fontId="17" fillId="12" borderId="20" xfId="0" applyFont="1" applyFill="1" applyBorder="1" applyAlignment="1">
      <alignment horizontal="center" wrapText="1"/>
    </xf>
    <xf numFmtId="0" fontId="17" fillId="12" borderId="18" xfId="0" applyFont="1" applyFill="1" applyBorder="1" applyAlignment="1">
      <alignment horizontal="center" vertical="center" wrapText="1"/>
    </xf>
    <xf numFmtId="0" fontId="17" fillId="12" borderId="19" xfId="0" applyFont="1" applyFill="1" applyBorder="1" applyAlignment="1">
      <alignment horizontal="center" vertical="center" wrapText="1"/>
    </xf>
    <xf numFmtId="0" fontId="17" fillId="12" borderId="20" xfId="0" applyFont="1" applyFill="1" applyBorder="1" applyAlignment="1">
      <alignment horizontal="center" vertical="center" wrapText="1"/>
    </xf>
    <xf numFmtId="0" fontId="17" fillId="12" borderId="22" xfId="0" applyFont="1" applyFill="1" applyBorder="1" applyAlignment="1">
      <alignment horizontal="center" vertical="center" wrapText="1"/>
    </xf>
    <xf numFmtId="0" fontId="17" fillId="12" borderId="23" xfId="0" applyFont="1" applyFill="1" applyBorder="1" applyAlignment="1">
      <alignment horizontal="center" vertical="center" wrapText="1"/>
    </xf>
    <xf numFmtId="0" fontId="17" fillId="11" borderId="18" xfId="0" applyFont="1" applyFill="1" applyBorder="1" applyAlignment="1">
      <alignment horizontal="center" wrapText="1"/>
    </xf>
    <xf numFmtId="0" fontId="17" fillId="11" borderId="19" xfId="0" applyFont="1" applyFill="1" applyBorder="1" applyAlignment="1">
      <alignment horizontal="center" wrapText="1"/>
    </xf>
    <xf numFmtId="0" fontId="17" fillId="11" borderId="20" xfId="0" applyFont="1" applyFill="1" applyBorder="1" applyAlignment="1">
      <alignment horizontal="center" wrapText="1"/>
    </xf>
    <xf numFmtId="0" fontId="16" fillId="11" borderId="7" xfId="0" applyFont="1" applyFill="1" applyBorder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3133725</xdr:colOff>
      <xdr:row>0</xdr:row>
      <xdr:rowOff>47625</xdr:rowOff>
    </xdr:from>
    <xdr:to>
      <xdr:col>1</xdr:col>
      <xdr:colOff>5705475</xdr:colOff>
      <xdr:row>6</xdr:row>
      <xdr:rowOff>54358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3325" y="47625"/>
          <a:ext cx="2571750" cy="9782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12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0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56"/>
      <c r="B3" s="57" t="s">
        <v>42</v>
      </c>
      <c r="C3" s="60" t="s">
        <v>8</v>
      </c>
      <c r="D3" s="63">
        <v>2</v>
      </c>
      <c r="E3" s="66">
        <f>IF(C20&lt;=25%,D20,MIN(E20:F20))</f>
        <v>30.98</v>
      </c>
      <c r="F3" s="66">
        <f>MIN(H3:H17)</f>
        <v>23.95</v>
      </c>
      <c r="G3" s="4" t="s">
        <v>58</v>
      </c>
      <c r="H3" s="13">
        <v>23.95</v>
      </c>
      <c r="I3" s="29">
        <f>IF(H3="","",(IF($C$20&lt;25%,"N/A",IF(H3&lt;=($D$20+$A$20),H3,"Descartado"))))</f>
        <v>23.95</v>
      </c>
    </row>
    <row r="4" spans="1:9">
      <c r="A4" s="56"/>
      <c r="B4" s="58"/>
      <c r="C4" s="61"/>
      <c r="D4" s="64"/>
      <c r="E4" s="67"/>
      <c r="F4" s="67"/>
      <c r="G4" s="4" t="s">
        <v>59</v>
      </c>
      <c r="H4" s="13">
        <v>27</v>
      </c>
      <c r="I4" s="29">
        <f t="shared" ref="I4:I17" si="0">IF(H4="","",(IF($C$20&lt;25%,"N/A",IF(H4&lt;=($D$20+$A$20),H4,"Descartado"))))</f>
        <v>27</v>
      </c>
    </row>
    <row r="5" spans="1:9">
      <c r="A5" s="56"/>
      <c r="B5" s="58"/>
      <c r="C5" s="61"/>
      <c r="D5" s="64"/>
      <c r="E5" s="67"/>
      <c r="F5" s="67"/>
      <c r="G5" s="4" t="s">
        <v>60</v>
      </c>
      <c r="H5" s="13">
        <v>42</v>
      </c>
      <c r="I5" s="29">
        <f t="shared" si="0"/>
        <v>42</v>
      </c>
    </row>
    <row r="6" spans="1:9">
      <c r="A6" s="56"/>
      <c r="B6" s="58"/>
      <c r="C6" s="61"/>
      <c r="D6" s="64"/>
      <c r="E6" s="67"/>
      <c r="F6" s="67"/>
      <c r="G6" s="4" t="s">
        <v>61</v>
      </c>
      <c r="H6" s="13">
        <v>46.8</v>
      </c>
      <c r="I6" s="29" t="str">
        <f t="shared" si="0"/>
        <v>Descartado</v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75" t="s">
        <v>29</v>
      </c>
      <c r="H19" s="76"/>
      <c r="I19" s="31"/>
    </row>
    <row r="20" spans="1:11">
      <c r="A20" s="19">
        <f>IF(B20&lt;2,"N/A",(STDEV(H3:H17)))</f>
        <v>11.170301025487179</v>
      </c>
      <c r="B20" s="19">
        <f>COUNT(H3:H17)</f>
        <v>4</v>
      </c>
      <c r="C20" s="20">
        <f>IF(B20&lt;2,"N/A",(A20/D20))</f>
        <v>0.319699514181087</v>
      </c>
      <c r="D20" s="21">
        <f>ROUND(AVERAGE(H3:H17),2)</f>
        <v>34.94</v>
      </c>
      <c r="E20" s="22">
        <f>IFERROR(ROUND(IF(B20&lt;2,"N/A",(IF(C20&lt;=25%,"N/A",AVERAGE(I3:I17)))),2),"N/A")</f>
        <v>30.98</v>
      </c>
      <c r="F20" s="22">
        <f>ROUND(MEDIAN(H3:H17),2)</f>
        <v>34.5</v>
      </c>
      <c r="G20" s="23" t="str">
        <f>INDEX(G3:G17,MATCH(H20,H3:H17,0))</f>
        <v>A P F DE CARVALHO</v>
      </c>
      <c r="H20" s="24">
        <f>MIN(H3:H17)</f>
        <v>23.95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32</v>
      </c>
      <c r="H22" s="26">
        <f>IF(C20&lt;=25%,D20,MIN(E20:F20))</f>
        <v>30.98</v>
      </c>
    </row>
    <row r="23" spans="1:11">
      <c r="B23" s="32"/>
      <c r="C23" s="32"/>
      <c r="D23" s="77"/>
      <c r="E23" s="77"/>
      <c r="F23" s="36"/>
      <c r="G23" s="27" t="s">
        <v>9</v>
      </c>
      <c r="H23" s="28">
        <f>ROUND(H22,2)*D3</f>
        <v>61.96</v>
      </c>
    </row>
    <row r="24" spans="1:11">
      <c r="B24" s="37"/>
      <c r="C24" s="37"/>
      <c r="D24" s="31"/>
      <c r="E24" s="31"/>
    </row>
    <row r="26" spans="1:11">
      <c r="A26" s="69" t="s">
        <v>20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21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22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23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24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25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26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topLeftCell="A7" zoomScaleNormal="100" zoomScaleSheetLayoutView="100" workbookViewId="0">
      <selection activeCell="G12" sqref="G12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12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41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56"/>
      <c r="B3" s="57" t="s">
        <v>52</v>
      </c>
      <c r="C3" s="60" t="s">
        <v>8</v>
      </c>
      <c r="D3" s="63">
        <v>1</v>
      </c>
      <c r="E3" s="66">
        <f>IF(C20&lt;=25%,D20,MIN(E20:F20))</f>
        <v>1873.29</v>
      </c>
      <c r="F3" s="66">
        <f>MIN(H3:H17)</f>
        <v>1549</v>
      </c>
      <c r="G3" s="4" t="s">
        <v>66</v>
      </c>
      <c r="H3" s="13">
        <v>1549</v>
      </c>
      <c r="I3" s="29" t="str">
        <f>IF(H3="","",(IF($C$20&lt;25%,"N/A",IF(H3&lt;=($D$20+$A$20),H3,"Descartado"))))</f>
        <v>N/A</v>
      </c>
    </row>
    <row r="4" spans="1:9">
      <c r="A4" s="56"/>
      <c r="B4" s="58"/>
      <c r="C4" s="61"/>
      <c r="D4" s="64"/>
      <c r="E4" s="67"/>
      <c r="F4" s="67"/>
      <c r="G4" s="4" t="s">
        <v>67</v>
      </c>
      <c r="H4" s="13">
        <v>1695</v>
      </c>
      <c r="I4" s="29" t="str">
        <f t="shared" ref="I4:I17" si="0">IF(H4="","",(IF($C$20&lt;25%,"N/A",IF(H4&lt;=($D$20+$A$20),H4,"Descartado"))))</f>
        <v>N/A</v>
      </c>
    </row>
    <row r="5" spans="1:9">
      <c r="A5" s="56"/>
      <c r="B5" s="58"/>
      <c r="C5" s="61"/>
      <c r="D5" s="64"/>
      <c r="E5" s="67"/>
      <c r="F5" s="67"/>
      <c r="G5" s="4" t="s">
        <v>68</v>
      </c>
      <c r="H5" s="13">
        <v>1906.6</v>
      </c>
      <c r="I5" s="29" t="str">
        <f t="shared" si="0"/>
        <v>N/A</v>
      </c>
    </row>
    <row r="6" spans="1:9">
      <c r="A6" s="56"/>
      <c r="B6" s="58"/>
      <c r="C6" s="61"/>
      <c r="D6" s="64"/>
      <c r="E6" s="67"/>
      <c r="F6" s="67"/>
      <c r="G6" s="4" t="s">
        <v>69</v>
      </c>
      <c r="H6" s="13">
        <v>2342.54</v>
      </c>
      <c r="I6" s="29" t="str">
        <f t="shared" si="0"/>
        <v>N/A</v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75" t="s">
        <v>29</v>
      </c>
      <c r="H19" s="76"/>
      <c r="I19" s="31"/>
    </row>
    <row r="20" spans="1:11">
      <c r="A20" s="19">
        <f>IF(B20&lt;2,"N/A",(STDEV(H3:H17)))</f>
        <v>345.57027587260137</v>
      </c>
      <c r="B20" s="19">
        <f>COUNT(H3:H17)</f>
        <v>4</v>
      </c>
      <c r="C20" s="20">
        <f>IF(B20&lt;2,"N/A",(A20/D20))</f>
        <v>0.18447238594803869</v>
      </c>
      <c r="D20" s="21">
        <f>ROUND(AVERAGE(H3:H17),2)</f>
        <v>1873.29</v>
      </c>
      <c r="E20" s="22" t="str">
        <f>IFERROR(ROUND(IF(B20&lt;2,"N/A",(IF(C20&lt;=25%,"N/A",AVERAGE(I3:I17)))),2),"N/A")</f>
        <v>N/A</v>
      </c>
      <c r="F20" s="22">
        <f>ROUND(MEDIAN(H3:H17),2)</f>
        <v>1800.8</v>
      </c>
      <c r="G20" s="23" t="str">
        <f>INDEX(G3:G17,MATCH(H20,H3:H17,0))</f>
        <v>SMART POINT LTDA</v>
      </c>
      <c r="H20" s="24">
        <f>MIN(H3:H17)</f>
        <v>1549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32</v>
      </c>
      <c r="H22" s="26">
        <f>IF(C20&lt;=25%,D20,MIN(E20:F20))</f>
        <v>1873.29</v>
      </c>
    </row>
    <row r="23" spans="1:11">
      <c r="B23" s="32"/>
      <c r="C23" s="32"/>
      <c r="D23" s="77"/>
      <c r="E23" s="77"/>
      <c r="F23" s="36"/>
      <c r="G23" s="27" t="s">
        <v>9</v>
      </c>
      <c r="H23" s="28">
        <f>ROUND(H22,2)*D3</f>
        <v>1873.29</v>
      </c>
    </row>
    <row r="24" spans="1:11">
      <c r="B24" s="37"/>
      <c r="C24" s="37"/>
      <c r="D24" s="31"/>
      <c r="E24" s="31"/>
    </row>
    <row r="26" spans="1:11">
      <c r="A26" s="69" t="s">
        <v>20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21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22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23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24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25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26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12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51</v>
      </c>
      <c r="B2" s="44" t="s">
        <v>19</v>
      </c>
      <c r="C2" s="44" t="s">
        <v>1</v>
      </c>
      <c r="D2" s="44" t="s">
        <v>2</v>
      </c>
      <c r="E2" s="14" t="s">
        <v>27</v>
      </c>
      <c r="F2" s="14" t="s">
        <v>28</v>
      </c>
      <c r="G2" s="44" t="s">
        <v>3</v>
      </c>
      <c r="H2" s="15" t="s">
        <v>4</v>
      </c>
      <c r="I2" s="16" t="s">
        <v>10</v>
      </c>
    </row>
    <row r="3" spans="1:9" ht="12.75" customHeight="1">
      <c r="A3" s="56"/>
      <c r="B3" s="57"/>
      <c r="C3" s="60" t="s">
        <v>8</v>
      </c>
      <c r="D3" s="63"/>
      <c r="E3" s="66" t="e">
        <f>IF(C20&lt;=25%,D20,MIN(E20:F20))</f>
        <v>#NUM!</v>
      </c>
      <c r="F3" s="66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6"/>
      <c r="B4" s="58"/>
      <c r="C4" s="61"/>
      <c r="D4" s="64"/>
      <c r="E4" s="67"/>
      <c r="F4" s="67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6"/>
      <c r="B5" s="58"/>
      <c r="C5" s="61"/>
      <c r="D5" s="64"/>
      <c r="E5" s="67"/>
      <c r="F5" s="67"/>
      <c r="G5" s="4"/>
      <c r="H5" s="13"/>
      <c r="I5" s="29" t="str">
        <f t="shared" si="0"/>
        <v/>
      </c>
    </row>
    <row r="6" spans="1:9">
      <c r="A6" s="56"/>
      <c r="B6" s="58"/>
      <c r="C6" s="61"/>
      <c r="D6" s="64"/>
      <c r="E6" s="67"/>
      <c r="F6" s="67"/>
      <c r="G6" s="4"/>
      <c r="H6" s="13"/>
      <c r="I6" s="29" t="str">
        <f t="shared" si="0"/>
        <v/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75" t="s">
        <v>29</v>
      </c>
      <c r="H19" s="7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32</v>
      </c>
      <c r="H22" s="26" t="e">
        <f>IF(C20&lt;=25%,D20,MIN(E20:F20))</f>
        <v>#NUM!</v>
      </c>
    </row>
    <row r="23" spans="1:11">
      <c r="B23" s="32"/>
      <c r="C23" s="32"/>
      <c r="D23" s="77"/>
      <c r="E23" s="77"/>
      <c r="F23" s="36"/>
      <c r="G23" s="27" t="s">
        <v>9</v>
      </c>
      <c r="H23" s="28" t="e">
        <f>ROUND(H22,2)*D3</f>
        <v>#NUM!</v>
      </c>
    </row>
    <row r="24" spans="1:11">
      <c r="B24" s="45"/>
      <c r="C24" s="45"/>
      <c r="D24" s="31"/>
      <c r="E24" s="31"/>
    </row>
    <row r="26" spans="1:11">
      <c r="A26" s="69" t="s">
        <v>20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21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22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23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24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25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26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M32"/>
  <sheetViews>
    <sheetView tabSelected="1" view="pageBreakPreview" topLeftCell="A13" zoomScaleNormal="100" zoomScaleSheetLayoutView="100" workbookViewId="0">
      <selection activeCell="C33" sqref="C33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3" width="9.140625" style="2"/>
    <col min="14" max="16384" width="9.140625" style="1"/>
  </cols>
  <sheetData>
    <row r="8" spans="1:6" ht="15.75">
      <c r="A8" s="94" t="s">
        <v>54</v>
      </c>
      <c r="B8" s="94"/>
      <c r="C8" s="94"/>
      <c r="D8" s="94"/>
      <c r="E8" s="94"/>
      <c r="F8" s="94"/>
    </row>
    <row r="9" spans="1:6" ht="25.5">
      <c r="A9" s="40" t="s">
        <v>14</v>
      </c>
      <c r="B9" s="40" t="s">
        <v>15</v>
      </c>
      <c r="C9" s="40" t="s">
        <v>16</v>
      </c>
      <c r="D9" s="40" t="s">
        <v>17</v>
      </c>
      <c r="E9" s="40" t="s">
        <v>13</v>
      </c>
      <c r="F9" s="40" t="s">
        <v>18</v>
      </c>
    </row>
    <row r="10" spans="1:6">
      <c r="A10" s="41">
        <v>1</v>
      </c>
      <c r="B10" s="42" t="str">
        <f>Item1!B3</f>
        <v>Camisa</v>
      </c>
      <c r="C10" s="41" t="str">
        <f>Item1!C3</f>
        <v>unidade</v>
      </c>
      <c r="D10" s="41">
        <f>Item1!D3</f>
        <v>2</v>
      </c>
      <c r="E10" s="43">
        <f>Item1!E3</f>
        <v>30.98</v>
      </c>
      <c r="F10" s="43">
        <f t="shared" ref="F10:F27" si="0">(ROUND(E10,2)*D10)</f>
        <v>61.96</v>
      </c>
    </row>
    <row r="11" spans="1:6">
      <c r="A11" s="41">
        <v>2</v>
      </c>
      <c r="B11" s="42" t="str">
        <f>Item2!B3</f>
        <v>Calça</v>
      </c>
      <c r="C11" s="41" t="str">
        <f>Item2!C3</f>
        <v>unidade</v>
      </c>
      <c r="D11" s="41">
        <f>Item2!D3</f>
        <v>2</v>
      </c>
      <c r="E11" s="43">
        <f>Item2!E3</f>
        <v>54.28</v>
      </c>
      <c r="F11" s="43">
        <f t="shared" si="0"/>
        <v>108.56</v>
      </c>
    </row>
    <row r="12" spans="1:6">
      <c r="A12" s="41">
        <v>3</v>
      </c>
      <c r="B12" s="42" t="str">
        <f>Item3!B3</f>
        <v>Cinto</v>
      </c>
      <c r="C12" s="41" t="str">
        <f>Item3!C3</f>
        <v>unidade</v>
      </c>
      <c r="D12" s="41">
        <f>Item3!D3</f>
        <v>1</v>
      </c>
      <c r="E12" s="43">
        <f>Item3!E3</f>
        <v>35</v>
      </c>
      <c r="F12" s="43">
        <f t="shared" si="0"/>
        <v>35</v>
      </c>
    </row>
    <row r="13" spans="1:6">
      <c r="A13" s="41">
        <v>4</v>
      </c>
      <c r="B13" s="42" t="str">
        <f>Item4!B3</f>
        <v>Meia de algodão</v>
      </c>
      <c r="C13" s="41" t="str">
        <f>Item4!C3</f>
        <v>par</v>
      </c>
      <c r="D13" s="41">
        <f>Item4!D3</f>
        <v>3</v>
      </c>
      <c r="E13" s="43">
        <f>Item4!E3</f>
        <v>15.28</v>
      </c>
      <c r="F13" s="43">
        <f t="shared" si="0"/>
        <v>45.839999999999996</v>
      </c>
    </row>
    <row r="14" spans="1:6">
      <c r="A14" s="41">
        <v>5</v>
      </c>
      <c r="B14" s="42" t="str">
        <f>Item5!B3</f>
        <v>Sapato fechado ou tênis</v>
      </c>
      <c r="C14" s="41" t="str">
        <f>Item5!C3</f>
        <v>par</v>
      </c>
      <c r="D14" s="41">
        <f>Item5!D3</f>
        <v>2</v>
      </c>
      <c r="E14" s="43">
        <f>Item5!E3</f>
        <v>96.4</v>
      </c>
      <c r="F14" s="43">
        <f t="shared" si="0"/>
        <v>192.8</v>
      </c>
    </row>
    <row r="15" spans="1:6">
      <c r="A15" s="41">
        <v>6</v>
      </c>
      <c r="B15" s="42" t="str">
        <f>Item6!B3</f>
        <v>Crachá</v>
      </c>
      <c r="C15" s="41" t="str">
        <f>Item6!C3</f>
        <v>unidade</v>
      </c>
      <c r="D15" s="41">
        <f>Item6!D3</f>
        <v>1</v>
      </c>
      <c r="E15" s="43">
        <f>Item6!E3</f>
        <v>9.94</v>
      </c>
      <c r="F15" s="43">
        <f t="shared" si="0"/>
        <v>9.94</v>
      </c>
    </row>
    <row r="16" spans="1:6">
      <c r="A16" s="41">
        <v>7</v>
      </c>
      <c r="B16" s="42" t="str">
        <f>Item7!B3</f>
        <v>Jaleco (somente para o Auxiliar Administrativo II)</v>
      </c>
      <c r="C16" s="41" t="str">
        <f>Item7!C3</f>
        <v>unidade</v>
      </c>
      <c r="D16" s="41">
        <f>Item7!D3</f>
        <v>2</v>
      </c>
      <c r="E16" s="43">
        <f>Item7!E3</f>
        <v>47.58</v>
      </c>
      <c r="F16" s="43">
        <f t="shared" si="0"/>
        <v>95.16</v>
      </c>
    </row>
    <row r="17" spans="1:6" ht="15.75" customHeight="1">
      <c r="A17" s="38"/>
      <c r="B17" s="46"/>
      <c r="C17" s="91" t="s">
        <v>53</v>
      </c>
      <c r="D17" s="92"/>
      <c r="E17" s="93"/>
      <c r="F17" s="39">
        <f>SUM(F10:F16)/12</f>
        <v>45.771666666666668</v>
      </c>
    </row>
    <row r="18" spans="1:6" ht="15.75">
      <c r="A18" s="47"/>
      <c r="B18" s="48"/>
      <c r="C18" s="91" t="s">
        <v>116</v>
      </c>
      <c r="D18" s="92"/>
      <c r="E18" s="93"/>
      <c r="F18" s="39">
        <f>SUM(F10:F15)/12</f>
        <v>37.841666666666669</v>
      </c>
    </row>
    <row r="19" spans="1:6" ht="15.75">
      <c r="A19" s="94" t="s">
        <v>55</v>
      </c>
      <c r="B19" s="94"/>
      <c r="C19" s="94"/>
      <c r="D19" s="94"/>
      <c r="E19" s="94"/>
      <c r="F19" s="94"/>
    </row>
    <row r="20" spans="1:6" ht="25.5">
      <c r="A20" s="40" t="s">
        <v>14</v>
      </c>
      <c r="B20" s="40" t="s">
        <v>15</v>
      </c>
      <c r="C20" s="40" t="s">
        <v>16</v>
      </c>
      <c r="D20" s="40" t="s">
        <v>17</v>
      </c>
      <c r="E20" s="40" t="s">
        <v>13</v>
      </c>
      <c r="F20" s="40" t="s">
        <v>18</v>
      </c>
    </row>
    <row r="21" spans="1:6">
      <c r="A21" s="41">
        <v>8</v>
      </c>
      <c r="B21" s="42" t="str">
        <f>Item8!B3</f>
        <v>máscaras descartáveis (para Auxiliar Administrativo II durante toda a execução)</v>
      </c>
      <c r="C21" s="41" t="str">
        <f>Item8!C3</f>
        <v>unidade</v>
      </c>
      <c r="D21" s="41">
        <f>Item8!D3</f>
        <v>3696</v>
      </c>
      <c r="E21" s="43">
        <f>Item8!E3</f>
        <v>0.78</v>
      </c>
      <c r="F21" s="43">
        <f t="shared" si="0"/>
        <v>2882.88</v>
      </c>
    </row>
    <row r="22" spans="1:6">
      <c r="A22" s="41">
        <v>9</v>
      </c>
      <c r="B22" s="42" t="str">
        <f>Item9!B3</f>
        <v>luvas descartáveis (somente para Auxiliar Administrativo II)</v>
      </c>
      <c r="C22" s="41" t="str">
        <f>Item9!C3</f>
        <v>unidade</v>
      </c>
      <c r="D22" s="41">
        <f>Item9!D3</f>
        <v>7392</v>
      </c>
      <c r="E22" s="43">
        <f>Item9!E3</f>
        <v>0.37</v>
      </c>
      <c r="F22" s="43">
        <f t="shared" si="0"/>
        <v>2735.04</v>
      </c>
    </row>
    <row r="23" spans="1:6" ht="15.75">
      <c r="A23" s="38"/>
      <c r="B23" s="46"/>
      <c r="C23" s="91" t="s">
        <v>56</v>
      </c>
      <c r="D23" s="92"/>
      <c r="E23" s="93"/>
      <c r="F23" s="39">
        <f>SUM(F21:F22)/4/12</f>
        <v>117.04</v>
      </c>
    </row>
    <row r="24" spans="1:6" ht="15.75">
      <c r="A24" s="47"/>
      <c r="B24" s="48"/>
      <c r="C24" s="91"/>
      <c r="D24" s="92"/>
      <c r="E24" s="93"/>
      <c r="F24" s="39"/>
    </row>
    <row r="25" spans="1:6" ht="15.75">
      <c r="A25" s="94" t="s">
        <v>57</v>
      </c>
      <c r="B25" s="94"/>
      <c r="C25" s="94"/>
      <c r="D25" s="94"/>
      <c r="E25" s="94"/>
      <c r="F25" s="94"/>
    </row>
    <row r="26" spans="1:6" ht="25.5">
      <c r="A26" s="40" t="s">
        <v>14</v>
      </c>
      <c r="B26" s="40" t="s">
        <v>15</v>
      </c>
      <c r="C26" s="40" t="s">
        <v>16</v>
      </c>
      <c r="D26" s="40" t="s">
        <v>17</v>
      </c>
      <c r="E26" s="40" t="s">
        <v>13</v>
      </c>
      <c r="F26" s="40" t="s">
        <v>18</v>
      </c>
    </row>
    <row r="27" spans="1:6">
      <c r="A27" s="41">
        <v>10</v>
      </c>
      <c r="B27" s="42" t="str">
        <f>Item10!B3</f>
        <v>relógio de ponto</v>
      </c>
      <c r="C27" s="41" t="str">
        <f>Item10!C3</f>
        <v>unidade</v>
      </c>
      <c r="D27" s="41">
        <f>Item10!D3</f>
        <v>1</v>
      </c>
      <c r="E27" s="43">
        <f>Item10!E3</f>
        <v>1873.29</v>
      </c>
      <c r="F27" s="43">
        <f t="shared" si="0"/>
        <v>1873.29</v>
      </c>
    </row>
    <row r="28" spans="1:6" ht="15.75" customHeight="1">
      <c r="A28" s="38"/>
      <c r="B28" s="38"/>
      <c r="C28" s="78" t="s">
        <v>112</v>
      </c>
      <c r="D28" s="79"/>
      <c r="E28" s="50">
        <v>5.0000000000000001E-3</v>
      </c>
      <c r="F28" s="51">
        <f>F27*E28</f>
        <v>9.3664500000000004</v>
      </c>
    </row>
    <row r="29" spans="1:6" ht="15.75">
      <c r="C29" s="80" t="s">
        <v>113</v>
      </c>
      <c r="D29" s="81"/>
      <c r="E29" s="82"/>
      <c r="F29" s="51">
        <f>F27*0.8/8/12</f>
        <v>15.610750000000001</v>
      </c>
    </row>
    <row r="30" spans="1:6" ht="15.75">
      <c r="C30" s="83" t="s">
        <v>114</v>
      </c>
      <c r="D30" s="84"/>
      <c r="E30" s="85"/>
      <c r="F30" s="51">
        <f>SUM(F28:F29)</f>
        <v>24.977200000000003</v>
      </c>
    </row>
    <row r="31" spans="1:6" ht="15.75">
      <c r="C31" s="86" t="s">
        <v>117</v>
      </c>
      <c r="D31" s="87"/>
      <c r="E31" s="88"/>
      <c r="F31" s="52">
        <v>22</v>
      </c>
    </row>
    <row r="32" spans="1:6" ht="15.75" customHeight="1">
      <c r="C32" s="86" t="s">
        <v>52</v>
      </c>
      <c r="D32" s="89"/>
      <c r="E32" s="90"/>
      <c r="F32" s="49">
        <f>F30/F31</f>
        <v>1.135327272727273</v>
      </c>
    </row>
  </sheetData>
  <mergeCells count="12">
    <mergeCell ref="C23:E23"/>
    <mergeCell ref="C24:E24"/>
    <mergeCell ref="A25:F25"/>
    <mergeCell ref="A8:F8"/>
    <mergeCell ref="C17:E17"/>
    <mergeCell ref="C18:E18"/>
    <mergeCell ref="A19:F19"/>
    <mergeCell ref="C28:D28"/>
    <mergeCell ref="C29:E29"/>
    <mergeCell ref="C30:E30"/>
    <mergeCell ref="C31:E31"/>
    <mergeCell ref="C32:E32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  <headerFooter>
    <oddFooter>&amp;L&amp;"Calibri,Negrito"Estimativa em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12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33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56"/>
      <c r="B3" s="57" t="s">
        <v>43</v>
      </c>
      <c r="C3" s="60" t="s">
        <v>8</v>
      </c>
      <c r="D3" s="63">
        <v>2</v>
      </c>
      <c r="E3" s="66">
        <f>IF(C20&lt;=25%,D20,MIN(E20:F20))</f>
        <v>54.28</v>
      </c>
      <c r="F3" s="66">
        <f>MIN(H3:H17)</f>
        <v>34.9</v>
      </c>
      <c r="G3" s="4" t="s">
        <v>81</v>
      </c>
      <c r="H3" s="13">
        <v>34.9</v>
      </c>
      <c r="I3" s="29">
        <f>IF(H3="","",(IF($C$20&lt;25%,"N/A",IF(H3&lt;=($D$20+$A$20),H3,"Descartado"))))</f>
        <v>34.9</v>
      </c>
    </row>
    <row r="4" spans="1:9">
      <c r="A4" s="56"/>
      <c r="B4" s="58"/>
      <c r="C4" s="61"/>
      <c r="D4" s="64"/>
      <c r="E4" s="67"/>
      <c r="F4" s="67"/>
      <c r="G4" s="4" t="s">
        <v>110</v>
      </c>
      <c r="H4" s="13">
        <v>35</v>
      </c>
      <c r="I4" s="29">
        <f t="shared" ref="I4:I17" si="0">IF(H4="","",(IF($C$20&lt;25%,"N/A",IF(H4&lt;=($D$20+$A$20),H4,"Descartado"))))</f>
        <v>35</v>
      </c>
    </row>
    <row r="5" spans="1:9">
      <c r="A5" s="56"/>
      <c r="B5" s="58"/>
      <c r="C5" s="61"/>
      <c r="D5" s="64"/>
      <c r="E5" s="67"/>
      <c r="F5" s="67"/>
      <c r="G5" s="4" t="s">
        <v>58</v>
      </c>
      <c r="H5" s="13">
        <v>92.95</v>
      </c>
      <c r="I5" s="29">
        <f t="shared" si="0"/>
        <v>92.95</v>
      </c>
    </row>
    <row r="6" spans="1:9">
      <c r="A6" s="56"/>
      <c r="B6" s="58"/>
      <c r="C6" s="61"/>
      <c r="D6" s="64"/>
      <c r="E6" s="67"/>
      <c r="F6" s="67"/>
      <c r="G6" s="4" t="s">
        <v>111</v>
      </c>
      <c r="H6" s="13">
        <v>200</v>
      </c>
      <c r="I6" s="29" t="str">
        <f t="shared" si="0"/>
        <v>Descartado</v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75" t="s">
        <v>29</v>
      </c>
      <c r="H19" s="76"/>
      <c r="I19" s="31"/>
    </row>
    <row r="20" spans="1:11">
      <c r="A20" s="19">
        <f>IF(B20&lt;2,"N/A",(STDEV(H3:H17)))</f>
        <v>77.81962450650434</v>
      </c>
      <c r="B20" s="19">
        <f>COUNT(H3:H17)</f>
        <v>4</v>
      </c>
      <c r="C20" s="20">
        <f>IF(B20&lt;2,"N/A",(A20/D20))</f>
        <v>0.85789465887448291</v>
      </c>
      <c r="D20" s="21">
        <f>ROUND(AVERAGE(H3:H17),2)</f>
        <v>90.71</v>
      </c>
      <c r="E20" s="22">
        <f>IFERROR(ROUND(IF(B20&lt;2,"N/A",(IF(C20&lt;=25%,"N/A",AVERAGE(I3:I17)))),2),"N/A")</f>
        <v>54.28</v>
      </c>
      <c r="F20" s="22">
        <f>ROUND(MEDIAN(H3:H17),2)</f>
        <v>63.98</v>
      </c>
      <c r="G20" s="23" t="str">
        <f>INDEX(G3:G17,MATCH(H20,H3:H17,0))</f>
        <v>NASCELIO BARBOSA ALVES 08589362400</v>
      </c>
      <c r="H20" s="24">
        <f>MIN(H3:H17)</f>
        <v>34.9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32</v>
      </c>
      <c r="H22" s="26">
        <f>IF(C20&lt;=25%,D20,MIN(E20:F20))</f>
        <v>54.28</v>
      </c>
    </row>
    <row r="23" spans="1:11">
      <c r="B23" s="32"/>
      <c r="C23" s="32"/>
      <c r="D23" s="77"/>
      <c r="E23" s="77"/>
      <c r="F23" s="36"/>
      <c r="G23" s="27" t="s">
        <v>9</v>
      </c>
      <c r="H23" s="28">
        <f>ROUND(H22,2)*D3</f>
        <v>108.56</v>
      </c>
    </row>
    <row r="24" spans="1:11">
      <c r="B24" s="37"/>
      <c r="C24" s="37"/>
      <c r="D24" s="31"/>
      <c r="E24" s="31"/>
    </row>
    <row r="26" spans="1:11">
      <c r="A26" s="69" t="s">
        <v>20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21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22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23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24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25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26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0" sqref="G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12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34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56"/>
      <c r="B3" s="57" t="s">
        <v>44</v>
      </c>
      <c r="C3" s="60" t="s">
        <v>8</v>
      </c>
      <c r="D3" s="63">
        <v>1</v>
      </c>
      <c r="E3" s="66">
        <f>IF(C20&lt;=25%,D20,MIN(E20:F20))</f>
        <v>35</v>
      </c>
      <c r="F3" s="66">
        <f>MIN(H3:H17)</f>
        <v>7.5</v>
      </c>
      <c r="G3" s="4" t="s">
        <v>70</v>
      </c>
      <c r="H3" s="13">
        <v>7.5</v>
      </c>
      <c r="I3" s="29">
        <f>IF(H3="","",(IF($C$20&lt;25%,"N/A",IF(H3&lt;=($D$20+$A$20),H3,"Descartado"))))</f>
        <v>7.5</v>
      </c>
    </row>
    <row r="4" spans="1:9">
      <c r="A4" s="56"/>
      <c r="B4" s="58"/>
      <c r="C4" s="61"/>
      <c r="D4" s="64"/>
      <c r="E4" s="67"/>
      <c r="F4" s="67"/>
      <c r="G4" s="4" t="s">
        <v>76</v>
      </c>
      <c r="H4" s="13">
        <v>29</v>
      </c>
      <c r="I4" s="29">
        <f t="shared" ref="I4:I17" si="0">IF(H4="","",(IF($C$20&lt;25%,"N/A",IF(H4&lt;=($D$20+$A$20),H4,"Descartado"))))</f>
        <v>29</v>
      </c>
    </row>
    <row r="5" spans="1:9">
      <c r="A5" s="56"/>
      <c r="B5" s="58"/>
      <c r="C5" s="61"/>
      <c r="D5" s="64"/>
      <c r="E5" s="67"/>
      <c r="F5" s="67"/>
      <c r="G5" s="4" t="s">
        <v>77</v>
      </c>
      <c r="H5" s="13">
        <v>31</v>
      </c>
      <c r="I5" s="29">
        <f t="shared" si="0"/>
        <v>31</v>
      </c>
    </row>
    <row r="6" spans="1:9">
      <c r="A6" s="56"/>
      <c r="B6" s="58"/>
      <c r="C6" s="61"/>
      <c r="D6" s="64"/>
      <c r="E6" s="67"/>
      <c r="F6" s="67"/>
      <c r="G6" s="4" t="s">
        <v>78</v>
      </c>
      <c r="H6" s="13">
        <v>35</v>
      </c>
      <c r="I6" s="29">
        <f t="shared" si="0"/>
        <v>35</v>
      </c>
    </row>
    <row r="7" spans="1:9">
      <c r="A7" s="56"/>
      <c r="B7" s="58"/>
      <c r="C7" s="61"/>
      <c r="D7" s="64"/>
      <c r="E7" s="67"/>
      <c r="F7" s="67"/>
      <c r="G7" s="4" t="s">
        <v>79</v>
      </c>
      <c r="H7" s="13">
        <v>68</v>
      </c>
      <c r="I7" s="29">
        <f t="shared" si="0"/>
        <v>68</v>
      </c>
    </row>
    <row r="8" spans="1:9">
      <c r="A8" s="56"/>
      <c r="B8" s="58"/>
      <c r="C8" s="61"/>
      <c r="D8" s="64"/>
      <c r="E8" s="67"/>
      <c r="F8" s="67"/>
      <c r="G8" s="4" t="s">
        <v>73</v>
      </c>
      <c r="H8" s="13">
        <v>90.04</v>
      </c>
      <c r="I8" s="29">
        <f t="shared" si="0"/>
        <v>90.04</v>
      </c>
    </row>
    <row r="9" spans="1:9">
      <c r="A9" s="56"/>
      <c r="B9" s="58"/>
      <c r="C9" s="61"/>
      <c r="D9" s="64"/>
      <c r="E9" s="67"/>
      <c r="F9" s="67"/>
      <c r="G9" s="4" t="s">
        <v>80</v>
      </c>
      <c r="H9" s="13">
        <v>112.5</v>
      </c>
      <c r="I9" s="29" t="str">
        <f t="shared" si="0"/>
        <v>Descartado</v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75" t="s">
        <v>29</v>
      </c>
      <c r="H19" s="76"/>
      <c r="I19" s="31"/>
    </row>
    <row r="20" spans="1:11">
      <c r="A20" s="19">
        <f>IF(B20&lt;2,"N/A",(STDEV(H3:H17)))</f>
        <v>37.839280925413746</v>
      </c>
      <c r="B20" s="19">
        <f>COUNT(H3:H17)</f>
        <v>7</v>
      </c>
      <c r="C20" s="20">
        <f>IF(B20&lt;2,"N/A",(A20/D20))</f>
        <v>0.71006344389967624</v>
      </c>
      <c r="D20" s="21">
        <f>ROUND(AVERAGE(H3:H17),2)</f>
        <v>53.29</v>
      </c>
      <c r="E20" s="22">
        <f>IFERROR(ROUND(IF(B20&lt;2,"N/A",(IF(C20&lt;=25%,"N/A",AVERAGE(I3:I17)))),2),"N/A")</f>
        <v>43.42</v>
      </c>
      <c r="F20" s="22">
        <f>ROUND(MEDIAN(H3:H17),2)</f>
        <v>35</v>
      </c>
      <c r="G20" s="23" t="str">
        <f>INDEX(G3:G17,MATCH(H20,H3:H17,0))</f>
        <v>RENILSON MACHADO</v>
      </c>
      <c r="H20" s="24">
        <f>MIN(H3:H17)</f>
        <v>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32</v>
      </c>
      <c r="H22" s="26">
        <f>IF(C20&lt;=25%,D20,MIN(E20:F20))</f>
        <v>35</v>
      </c>
    </row>
    <row r="23" spans="1:11">
      <c r="B23" s="32"/>
      <c r="C23" s="32"/>
      <c r="D23" s="77"/>
      <c r="E23" s="77"/>
      <c r="F23" s="36"/>
      <c r="G23" s="27" t="s">
        <v>9</v>
      </c>
      <c r="H23" s="28">
        <f>ROUND(H22,2)*D3</f>
        <v>35</v>
      </c>
    </row>
    <row r="24" spans="1:11">
      <c r="B24" s="37"/>
      <c r="C24" s="37"/>
      <c r="D24" s="31"/>
      <c r="E24" s="31"/>
    </row>
    <row r="26" spans="1:11">
      <c r="A26" s="69" t="s">
        <v>20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21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22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23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24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25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26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12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35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56"/>
      <c r="B3" s="57" t="s">
        <v>45</v>
      </c>
      <c r="C3" s="60" t="s">
        <v>46</v>
      </c>
      <c r="D3" s="63">
        <v>3</v>
      </c>
      <c r="E3" s="66">
        <f>IF(C20&lt;=25%,D20,MIN(E20:F20))</f>
        <v>15.28</v>
      </c>
      <c r="F3" s="66">
        <f>MIN(H3:H17)</f>
        <v>6.5</v>
      </c>
      <c r="G3" s="4" t="s">
        <v>70</v>
      </c>
      <c r="H3" s="13">
        <v>6.5</v>
      </c>
      <c r="I3" s="29">
        <f>IF(H3="","",(IF($C$20&lt;25%,"N/A",IF(H3&lt;=($D$20+$A$20),H3,"Descartado"))))</f>
        <v>6.5</v>
      </c>
    </row>
    <row r="4" spans="1:9">
      <c r="A4" s="56"/>
      <c r="B4" s="58"/>
      <c r="C4" s="61"/>
      <c r="D4" s="64"/>
      <c r="E4" s="67"/>
      <c r="F4" s="67"/>
      <c r="G4" s="4" t="s">
        <v>71</v>
      </c>
      <c r="H4" s="13">
        <v>12</v>
      </c>
      <c r="I4" s="29">
        <f t="shared" ref="I4:I17" si="0">IF(H4="","",(IF($C$20&lt;25%,"N/A",IF(H4&lt;=($D$20+$A$20),H4,"Descartado"))))</f>
        <v>12</v>
      </c>
    </row>
    <row r="5" spans="1:9">
      <c r="A5" s="56"/>
      <c r="B5" s="58"/>
      <c r="C5" s="61"/>
      <c r="D5" s="64"/>
      <c r="E5" s="67"/>
      <c r="F5" s="67"/>
      <c r="G5" s="4" t="s">
        <v>72</v>
      </c>
      <c r="H5" s="13">
        <v>13.1</v>
      </c>
      <c r="I5" s="29">
        <f t="shared" si="0"/>
        <v>13.1</v>
      </c>
    </row>
    <row r="6" spans="1:9">
      <c r="A6" s="56"/>
      <c r="B6" s="58"/>
      <c r="C6" s="61"/>
      <c r="D6" s="64"/>
      <c r="E6" s="67"/>
      <c r="F6" s="67"/>
      <c r="G6" s="4" t="s">
        <v>73</v>
      </c>
      <c r="H6" s="13">
        <v>17.46</v>
      </c>
      <c r="I6" s="29">
        <f t="shared" si="0"/>
        <v>17.46</v>
      </c>
    </row>
    <row r="7" spans="1:9">
      <c r="A7" s="56"/>
      <c r="B7" s="58"/>
      <c r="C7" s="61"/>
      <c r="D7" s="64"/>
      <c r="E7" s="67"/>
      <c r="F7" s="67"/>
      <c r="G7" s="4" t="s">
        <v>74</v>
      </c>
      <c r="H7" s="13">
        <v>104</v>
      </c>
      <c r="I7" s="29">
        <f t="shared" si="0"/>
        <v>104</v>
      </c>
    </row>
    <row r="8" spans="1:9">
      <c r="A8" s="56"/>
      <c r="B8" s="58"/>
      <c r="C8" s="61"/>
      <c r="D8" s="64"/>
      <c r="E8" s="67"/>
      <c r="F8" s="67"/>
      <c r="G8" s="4" t="s">
        <v>75</v>
      </c>
      <c r="H8" s="13">
        <v>156</v>
      </c>
      <c r="I8" s="29" t="str">
        <f t="shared" si="0"/>
        <v>Descartado</v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75" t="s">
        <v>29</v>
      </c>
      <c r="H19" s="76"/>
      <c r="I19" s="31"/>
    </row>
    <row r="20" spans="1:11">
      <c r="A20" s="19">
        <f>IF(B20&lt;2,"N/A",(STDEV(H3:H17)))</f>
        <v>63.07936429609925</v>
      </c>
      <c r="B20" s="19">
        <f>COUNT(H3:H17)</f>
        <v>6</v>
      </c>
      <c r="C20" s="20">
        <f>IF(B20&lt;2,"N/A",(A20/D20))</f>
        <v>1.2246042379363085</v>
      </c>
      <c r="D20" s="21">
        <f>ROUND(AVERAGE(H3:H17),2)</f>
        <v>51.51</v>
      </c>
      <c r="E20" s="22">
        <f>IFERROR(ROUND(IF(B20&lt;2,"N/A",(IF(C20&lt;=25%,"N/A",AVERAGE(I3:I17)))),2),"N/A")</f>
        <v>30.61</v>
      </c>
      <c r="F20" s="22">
        <f>ROUND(MEDIAN(H3:H17),2)</f>
        <v>15.28</v>
      </c>
      <c r="G20" s="23" t="str">
        <f>INDEX(G3:G17,MATCH(H20,H3:H17,0))</f>
        <v>RENILSON MACHADO</v>
      </c>
      <c r="H20" s="24">
        <f>MIN(H3:H17)</f>
        <v>6.5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32</v>
      </c>
      <c r="H22" s="26">
        <f>IF(C20&lt;=25%,D20,MIN(E20:F20))</f>
        <v>15.28</v>
      </c>
    </row>
    <row r="23" spans="1:11">
      <c r="B23" s="32"/>
      <c r="C23" s="32"/>
      <c r="D23" s="77"/>
      <c r="E23" s="77"/>
      <c r="F23" s="36"/>
      <c r="G23" s="27" t="s">
        <v>9</v>
      </c>
      <c r="H23" s="28">
        <f>ROUND(H22,2)*D3</f>
        <v>45.839999999999996</v>
      </c>
    </row>
    <row r="24" spans="1:11">
      <c r="B24" s="37"/>
      <c r="C24" s="37"/>
      <c r="D24" s="31"/>
      <c r="E24" s="31"/>
    </row>
    <row r="26" spans="1:11">
      <c r="A26" s="69" t="s">
        <v>20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21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22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23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24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25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26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3" sqref="G13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12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36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56"/>
      <c r="B3" s="57" t="s">
        <v>47</v>
      </c>
      <c r="C3" s="60" t="s">
        <v>46</v>
      </c>
      <c r="D3" s="63">
        <v>2</v>
      </c>
      <c r="E3" s="66">
        <f>IF(C20&lt;=25%,D20,MIN(E20:F20))</f>
        <v>96.4</v>
      </c>
      <c r="F3" s="66">
        <f>MIN(H3:H17)</f>
        <v>53</v>
      </c>
      <c r="G3" s="4" t="s">
        <v>94</v>
      </c>
      <c r="H3" s="13">
        <v>53</v>
      </c>
      <c r="I3" s="29">
        <f>IF(H3="","",(IF($C$20&lt;25%,"N/A",IF(H3&lt;=($D$20+$A$20),H3,"Descartado"))))</f>
        <v>53</v>
      </c>
    </row>
    <row r="4" spans="1:9">
      <c r="A4" s="56"/>
      <c r="B4" s="58"/>
      <c r="C4" s="61"/>
      <c r="D4" s="64"/>
      <c r="E4" s="67"/>
      <c r="F4" s="67"/>
      <c r="G4" s="4" t="s">
        <v>95</v>
      </c>
      <c r="H4" s="13">
        <v>59.9</v>
      </c>
      <c r="I4" s="29">
        <f t="shared" ref="I4:I17" si="0">IF(H4="","",(IF($C$20&lt;25%,"N/A",IF(H4&lt;=($D$20+$A$20),H4,"Descartado"))))</f>
        <v>59.9</v>
      </c>
    </row>
    <row r="5" spans="1:9">
      <c r="A5" s="56"/>
      <c r="B5" s="58"/>
      <c r="C5" s="61"/>
      <c r="D5" s="64"/>
      <c r="E5" s="67"/>
      <c r="F5" s="67"/>
      <c r="G5" s="4" t="s">
        <v>96</v>
      </c>
      <c r="H5" s="13">
        <v>83</v>
      </c>
      <c r="I5" s="29">
        <f t="shared" si="0"/>
        <v>83</v>
      </c>
    </row>
    <row r="6" spans="1:9">
      <c r="A6" s="56"/>
      <c r="B6" s="58"/>
      <c r="C6" s="61"/>
      <c r="D6" s="64"/>
      <c r="E6" s="67"/>
      <c r="F6" s="67"/>
      <c r="G6" s="4" t="s">
        <v>81</v>
      </c>
      <c r="H6" s="13">
        <v>94.66</v>
      </c>
      <c r="I6" s="29">
        <f t="shared" si="0"/>
        <v>94.66</v>
      </c>
    </row>
    <row r="7" spans="1:9">
      <c r="A7" s="56"/>
      <c r="B7" s="58"/>
      <c r="C7" s="61"/>
      <c r="D7" s="64"/>
      <c r="E7" s="67"/>
      <c r="F7" s="67"/>
      <c r="G7" s="4" t="s">
        <v>97</v>
      </c>
      <c r="H7" s="13">
        <v>100</v>
      </c>
      <c r="I7" s="29">
        <f t="shared" si="0"/>
        <v>100</v>
      </c>
    </row>
    <row r="8" spans="1:9">
      <c r="A8" s="56"/>
      <c r="B8" s="58"/>
      <c r="C8" s="61"/>
      <c r="D8" s="64"/>
      <c r="E8" s="67"/>
      <c r="F8" s="67"/>
      <c r="G8" s="4" t="s">
        <v>98</v>
      </c>
      <c r="H8" s="13">
        <v>105</v>
      </c>
      <c r="I8" s="29">
        <f t="shared" si="0"/>
        <v>105</v>
      </c>
    </row>
    <row r="9" spans="1:9">
      <c r="A9" s="56"/>
      <c r="B9" s="58"/>
      <c r="C9" s="61"/>
      <c r="D9" s="64"/>
      <c r="E9" s="67"/>
      <c r="F9" s="67"/>
      <c r="G9" s="4" t="s">
        <v>99</v>
      </c>
      <c r="H9" s="13">
        <v>108</v>
      </c>
      <c r="I9" s="29">
        <f t="shared" si="0"/>
        <v>108</v>
      </c>
    </row>
    <row r="10" spans="1:9">
      <c r="A10" s="56"/>
      <c r="B10" s="58"/>
      <c r="C10" s="61"/>
      <c r="D10" s="64"/>
      <c r="E10" s="67"/>
      <c r="F10" s="67"/>
      <c r="G10" s="4" t="s">
        <v>82</v>
      </c>
      <c r="H10" s="13">
        <v>114</v>
      </c>
      <c r="I10" s="29">
        <f t="shared" si="0"/>
        <v>114</v>
      </c>
    </row>
    <row r="11" spans="1:9">
      <c r="A11" s="56"/>
      <c r="B11" s="58"/>
      <c r="C11" s="61"/>
      <c r="D11" s="64"/>
      <c r="E11" s="67"/>
      <c r="F11" s="67"/>
      <c r="G11" s="4" t="s">
        <v>71</v>
      </c>
      <c r="H11" s="13">
        <v>150</v>
      </c>
      <c r="I11" s="29">
        <f t="shared" si="0"/>
        <v>150</v>
      </c>
    </row>
    <row r="12" spans="1:9">
      <c r="A12" s="56"/>
      <c r="B12" s="58"/>
      <c r="C12" s="61"/>
      <c r="D12" s="64"/>
      <c r="E12" s="67"/>
      <c r="F12" s="67"/>
      <c r="G12" s="4" t="s">
        <v>73</v>
      </c>
      <c r="H12" s="13">
        <v>228.84</v>
      </c>
      <c r="I12" s="29" t="str">
        <f t="shared" si="0"/>
        <v>Descartado</v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75" t="s">
        <v>29</v>
      </c>
      <c r="H19" s="76"/>
      <c r="I19" s="31"/>
    </row>
    <row r="20" spans="1:11">
      <c r="A20" s="19">
        <f>IF(B20&lt;2,"N/A",(STDEV(H3:H17)))</f>
        <v>50.099872698884639</v>
      </c>
      <c r="B20" s="19">
        <f>COUNT(H3:H17)</f>
        <v>10</v>
      </c>
      <c r="C20" s="20">
        <f>IF(B20&lt;2,"N/A",(A20/D20))</f>
        <v>0.4569488571587435</v>
      </c>
      <c r="D20" s="21">
        <f>ROUND(AVERAGE(H3:H17),2)</f>
        <v>109.64</v>
      </c>
      <c r="E20" s="22">
        <f>IFERROR(ROUND(IF(B20&lt;2,"N/A",(IF(C20&lt;=25%,"N/A",AVERAGE(I3:I17)))),2),"N/A")</f>
        <v>96.4</v>
      </c>
      <c r="F20" s="22">
        <f>ROUND(MEDIAN(H3:H17),2)</f>
        <v>102.5</v>
      </c>
      <c r="G20" s="23" t="str">
        <f>INDEX(G3:G17,MATCH(H20,H3:H17,0))</f>
        <v>H W COMERCIO E EMPREENDIMENTOS LTDA</v>
      </c>
      <c r="H20" s="24">
        <f>MIN(H3:H17)</f>
        <v>53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32</v>
      </c>
      <c r="H22" s="26">
        <f>IF(C20&lt;=25%,D20,MIN(E20:F20))</f>
        <v>96.4</v>
      </c>
    </row>
    <row r="23" spans="1:11">
      <c r="B23" s="32"/>
      <c r="C23" s="32"/>
      <c r="D23" s="77"/>
      <c r="E23" s="77"/>
      <c r="F23" s="36"/>
      <c r="G23" s="27" t="s">
        <v>9</v>
      </c>
      <c r="H23" s="28">
        <f>ROUND(H22,2)*D3</f>
        <v>192.8</v>
      </c>
    </row>
    <row r="24" spans="1:11">
      <c r="B24" s="37"/>
      <c r="C24" s="37"/>
      <c r="D24" s="31"/>
      <c r="E24" s="31"/>
    </row>
    <row r="26" spans="1:11">
      <c r="A26" s="69" t="s">
        <v>20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21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22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23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24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25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26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12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37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56"/>
      <c r="B3" s="57" t="s">
        <v>48</v>
      </c>
      <c r="C3" s="60" t="s">
        <v>8</v>
      </c>
      <c r="D3" s="63">
        <v>1</v>
      </c>
      <c r="E3" s="66">
        <f>IF(C20&lt;=25%,D20,MIN(E20:F20))</f>
        <v>9.94</v>
      </c>
      <c r="F3" s="66">
        <f>MIN(H3:H17)</f>
        <v>2.5</v>
      </c>
      <c r="G3" s="4" t="s">
        <v>62</v>
      </c>
      <c r="H3" s="13">
        <v>2.5</v>
      </c>
      <c r="I3" s="29">
        <f>IF(H3="","",(IF($C$20&lt;25%,"N/A",IF(H3&lt;=($D$20+$A$20),H3,"Descartado"))))</f>
        <v>2.5</v>
      </c>
    </row>
    <row r="4" spans="1:9">
      <c r="A4" s="56"/>
      <c r="B4" s="58"/>
      <c r="C4" s="61"/>
      <c r="D4" s="64"/>
      <c r="E4" s="67"/>
      <c r="F4" s="67"/>
      <c r="G4" s="4" t="s">
        <v>63</v>
      </c>
      <c r="H4" s="13">
        <v>8</v>
      </c>
      <c r="I4" s="29">
        <f t="shared" ref="I4:I17" si="0">IF(H4="","",(IF($C$20&lt;25%,"N/A",IF(H4&lt;=($D$20+$A$20),H4,"Descartado"))))</f>
        <v>8</v>
      </c>
    </row>
    <row r="5" spans="1:9">
      <c r="A5" s="56"/>
      <c r="B5" s="58"/>
      <c r="C5" s="61"/>
      <c r="D5" s="64"/>
      <c r="E5" s="67"/>
      <c r="F5" s="67"/>
      <c r="G5" s="4" t="s">
        <v>64</v>
      </c>
      <c r="H5" s="13">
        <v>13.75</v>
      </c>
      <c r="I5" s="29">
        <f t="shared" si="0"/>
        <v>13.75</v>
      </c>
    </row>
    <row r="6" spans="1:9">
      <c r="A6" s="56"/>
      <c r="B6" s="58"/>
      <c r="C6" s="61"/>
      <c r="D6" s="64"/>
      <c r="E6" s="67"/>
      <c r="F6" s="67"/>
      <c r="G6" s="4" t="s">
        <v>65</v>
      </c>
      <c r="H6" s="13">
        <v>15.5</v>
      </c>
      <c r="I6" s="29">
        <f t="shared" si="0"/>
        <v>15.5</v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75" t="s">
        <v>29</v>
      </c>
      <c r="H19" s="76"/>
      <c r="I19" s="31"/>
    </row>
    <row r="20" spans="1:11">
      <c r="A20" s="19">
        <f>IF(B20&lt;2,"N/A",(STDEV(H3:H17)))</f>
        <v>5.9033006304383093</v>
      </c>
      <c r="B20" s="19">
        <f>COUNT(H3:H17)</f>
        <v>4</v>
      </c>
      <c r="C20" s="20">
        <f>IF(B20&lt;2,"N/A",(A20/D20))</f>
        <v>0.59389342358534303</v>
      </c>
      <c r="D20" s="21">
        <f>ROUND(AVERAGE(H3:H17),2)</f>
        <v>9.94</v>
      </c>
      <c r="E20" s="22">
        <f>IFERROR(ROUND(IF(B20&lt;2,"N/A",(IF(C20&lt;=25%,"N/A",AVERAGE(I3:I17)))),2),"N/A")</f>
        <v>9.94</v>
      </c>
      <c r="F20" s="22">
        <f>ROUND(MEDIAN(H3:H17),2)</f>
        <v>10.88</v>
      </c>
      <c r="G20" s="23" t="str">
        <f>INDEX(G3:G17,MATCH(H20,H3:H17,0))</f>
        <v>J. G. DE SOUSA GRAFICA E EDITORA</v>
      </c>
      <c r="H20" s="24">
        <f>MIN(H3:H17)</f>
        <v>2.5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32</v>
      </c>
      <c r="H22" s="26">
        <f>IF(C20&lt;=25%,D20,MIN(E20:F20))</f>
        <v>9.94</v>
      </c>
    </row>
    <row r="23" spans="1:11">
      <c r="B23" s="32"/>
      <c r="C23" s="32"/>
      <c r="D23" s="77"/>
      <c r="E23" s="77"/>
      <c r="F23" s="36"/>
      <c r="G23" s="27" t="s">
        <v>9</v>
      </c>
      <c r="H23" s="28">
        <f>ROUND(H22,2)*D3</f>
        <v>9.94</v>
      </c>
    </row>
    <row r="24" spans="1:11">
      <c r="B24" s="37"/>
      <c r="C24" s="37"/>
      <c r="D24" s="31"/>
      <c r="E24" s="31"/>
    </row>
    <row r="26" spans="1:11">
      <c r="A26" s="69" t="s">
        <v>20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21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22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23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24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25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26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12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38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56"/>
      <c r="B3" s="57" t="s">
        <v>49</v>
      </c>
      <c r="C3" s="60" t="s">
        <v>8</v>
      </c>
      <c r="D3" s="63">
        <v>2</v>
      </c>
      <c r="E3" s="66">
        <f>IF(C20&lt;=25%,D20,MIN(E20:F20))</f>
        <v>47.58</v>
      </c>
      <c r="F3" s="66">
        <f>MIN(H3:H17)</f>
        <v>37.24</v>
      </c>
      <c r="G3" s="4" t="s">
        <v>81</v>
      </c>
      <c r="H3" s="13">
        <v>37.24</v>
      </c>
      <c r="I3" s="29">
        <f>IF(H3="","",(IF($C$20&lt;25%,"N/A",IF(H3&lt;=($D$20+$A$20),H3,"Descartado"))))</f>
        <v>37.24</v>
      </c>
    </row>
    <row r="4" spans="1:9">
      <c r="A4" s="56"/>
      <c r="B4" s="58"/>
      <c r="C4" s="61"/>
      <c r="D4" s="64"/>
      <c r="E4" s="67"/>
      <c r="F4" s="67"/>
      <c r="G4" s="4" t="s">
        <v>82</v>
      </c>
      <c r="H4" s="13">
        <v>43.5</v>
      </c>
      <c r="I4" s="29">
        <f t="shared" ref="I4:I17" si="0">IF(H4="","",(IF($C$20&lt;25%,"N/A",IF(H4&lt;=($D$20+$A$20),H4,"Descartado"))))</f>
        <v>43.5</v>
      </c>
    </row>
    <row r="5" spans="1:9">
      <c r="A5" s="56"/>
      <c r="B5" s="58"/>
      <c r="C5" s="61"/>
      <c r="D5" s="64"/>
      <c r="E5" s="67"/>
      <c r="F5" s="67"/>
      <c r="G5" s="4" t="s">
        <v>83</v>
      </c>
      <c r="H5" s="13">
        <v>62</v>
      </c>
      <c r="I5" s="29">
        <f t="shared" si="0"/>
        <v>62</v>
      </c>
    </row>
    <row r="6" spans="1:9">
      <c r="A6" s="56"/>
      <c r="B6" s="58"/>
      <c r="C6" s="61"/>
      <c r="D6" s="64"/>
      <c r="E6" s="67"/>
      <c r="F6" s="67"/>
      <c r="G6" s="4" t="s">
        <v>84</v>
      </c>
      <c r="H6" s="13">
        <v>69</v>
      </c>
      <c r="I6" s="29" t="str">
        <f t="shared" si="0"/>
        <v>Descartado</v>
      </c>
    </row>
    <row r="7" spans="1:9">
      <c r="A7" s="56"/>
      <c r="B7" s="58"/>
      <c r="C7" s="61"/>
      <c r="D7" s="64"/>
      <c r="E7" s="67"/>
      <c r="F7" s="67"/>
      <c r="G7" s="4"/>
      <c r="H7" s="13"/>
      <c r="I7" s="29" t="str">
        <f t="shared" si="0"/>
        <v/>
      </c>
    </row>
    <row r="8" spans="1:9">
      <c r="A8" s="56"/>
      <c r="B8" s="58"/>
      <c r="C8" s="61"/>
      <c r="D8" s="64"/>
      <c r="E8" s="67"/>
      <c r="F8" s="67"/>
      <c r="G8" s="4"/>
      <c r="H8" s="13"/>
      <c r="I8" s="29" t="str">
        <f t="shared" si="0"/>
        <v/>
      </c>
    </row>
    <row r="9" spans="1:9">
      <c r="A9" s="56"/>
      <c r="B9" s="58"/>
      <c r="C9" s="61"/>
      <c r="D9" s="64"/>
      <c r="E9" s="67"/>
      <c r="F9" s="67"/>
      <c r="G9" s="4"/>
      <c r="H9" s="13"/>
      <c r="I9" s="29" t="str">
        <f t="shared" si="0"/>
        <v/>
      </c>
    </row>
    <row r="10" spans="1:9">
      <c r="A10" s="56"/>
      <c r="B10" s="58"/>
      <c r="C10" s="61"/>
      <c r="D10" s="64"/>
      <c r="E10" s="67"/>
      <c r="F10" s="67"/>
      <c r="G10" s="4"/>
      <c r="H10" s="13"/>
      <c r="I10" s="29" t="str">
        <f t="shared" si="0"/>
        <v/>
      </c>
    </row>
    <row r="11" spans="1:9">
      <c r="A11" s="56"/>
      <c r="B11" s="58"/>
      <c r="C11" s="61"/>
      <c r="D11" s="64"/>
      <c r="E11" s="67"/>
      <c r="F11" s="67"/>
      <c r="G11" s="4"/>
      <c r="H11" s="13"/>
      <c r="I11" s="29" t="str">
        <f t="shared" si="0"/>
        <v/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75" t="s">
        <v>29</v>
      </c>
      <c r="H19" s="76"/>
      <c r="I19" s="31"/>
    </row>
    <row r="20" spans="1:11">
      <c r="A20" s="19">
        <f>IF(B20&lt;2,"N/A",(STDEV(H3:H17)))</f>
        <v>15.00678402145731</v>
      </c>
      <c r="B20" s="19">
        <f>COUNT(H3:H17)</f>
        <v>4</v>
      </c>
      <c r="C20" s="20">
        <f>IF(B20&lt;2,"N/A",(A20/D20))</f>
        <v>0.28346777524475464</v>
      </c>
      <c r="D20" s="21">
        <f>ROUND(AVERAGE(H3:H17),2)</f>
        <v>52.94</v>
      </c>
      <c r="E20" s="22">
        <f>IFERROR(ROUND(IF(B20&lt;2,"N/A",(IF(C20&lt;=25%,"N/A",AVERAGE(I3:I17)))),2),"N/A")</f>
        <v>47.58</v>
      </c>
      <c r="F20" s="22">
        <f>ROUND(MEDIAN(H3:H17),2)</f>
        <v>52.75</v>
      </c>
      <c r="G20" s="23" t="str">
        <f>INDEX(G3:G17,MATCH(H20,H3:H17,0))</f>
        <v>NASCELIO BARBOSA ALVES 08589362400</v>
      </c>
      <c r="H20" s="24">
        <f>MIN(H3:H17)</f>
        <v>37.24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32</v>
      </c>
      <c r="H22" s="26">
        <f>IF(C20&lt;=25%,D20,MIN(E20:F20))</f>
        <v>47.58</v>
      </c>
    </row>
    <row r="23" spans="1:11">
      <c r="B23" s="32"/>
      <c r="C23" s="32"/>
      <c r="D23" s="77"/>
      <c r="E23" s="77"/>
      <c r="F23" s="36"/>
      <c r="G23" s="27" t="s">
        <v>9</v>
      </c>
      <c r="H23" s="28">
        <f>ROUND(H22,2)*D3</f>
        <v>95.16</v>
      </c>
    </row>
    <row r="24" spans="1:11">
      <c r="B24" s="37"/>
      <c r="C24" s="37"/>
      <c r="D24" s="31"/>
      <c r="E24" s="31"/>
    </row>
    <row r="26" spans="1:11">
      <c r="A26" s="69" t="s">
        <v>20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21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22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23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24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25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26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22" sqref="H22 D3:D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12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39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56"/>
      <c r="B3" s="57" t="s">
        <v>115</v>
      </c>
      <c r="C3" s="60" t="s">
        <v>8</v>
      </c>
      <c r="D3" s="63">
        <v>3696</v>
      </c>
      <c r="E3" s="66">
        <f>IF(C20&lt;=25%,D20,MIN(E20:F20))</f>
        <v>0.78</v>
      </c>
      <c r="F3" s="66">
        <f>MIN(H3:H17)</f>
        <v>0.15</v>
      </c>
      <c r="G3" s="4" t="s">
        <v>100</v>
      </c>
      <c r="H3" s="13">
        <v>0.15</v>
      </c>
      <c r="I3" s="29">
        <f>IF(H3="","",(IF($C$20&lt;25%,"N/A",IF(H3&lt;=($D$20+$A$20),H3,"Descartado"))))</f>
        <v>0.15</v>
      </c>
    </row>
    <row r="4" spans="1:9">
      <c r="A4" s="56"/>
      <c r="B4" s="58"/>
      <c r="C4" s="61"/>
      <c r="D4" s="64"/>
      <c r="E4" s="67"/>
      <c r="F4" s="67"/>
      <c r="G4" s="4" t="s">
        <v>101</v>
      </c>
      <c r="H4" s="13">
        <v>0.16</v>
      </c>
      <c r="I4" s="29">
        <f t="shared" ref="I4:I17" si="0">IF(H4="","",(IF($C$20&lt;25%,"N/A",IF(H4&lt;=($D$20+$A$20),H4,"Descartado"))))</f>
        <v>0.16</v>
      </c>
    </row>
    <row r="5" spans="1:9">
      <c r="A5" s="56"/>
      <c r="B5" s="58"/>
      <c r="C5" s="61"/>
      <c r="D5" s="64"/>
      <c r="E5" s="67"/>
      <c r="F5" s="67"/>
      <c r="G5" s="4" t="s">
        <v>102</v>
      </c>
      <c r="H5" s="13">
        <v>0.35</v>
      </c>
      <c r="I5" s="29">
        <f t="shared" si="0"/>
        <v>0.35</v>
      </c>
    </row>
    <row r="6" spans="1:9">
      <c r="A6" s="56"/>
      <c r="B6" s="58"/>
      <c r="C6" s="61"/>
      <c r="D6" s="64"/>
      <c r="E6" s="67"/>
      <c r="F6" s="67"/>
      <c r="G6" s="4" t="s">
        <v>103</v>
      </c>
      <c r="H6" s="13">
        <v>0.42</v>
      </c>
      <c r="I6" s="29">
        <f t="shared" si="0"/>
        <v>0.42</v>
      </c>
    </row>
    <row r="7" spans="1:9">
      <c r="A7" s="56"/>
      <c r="B7" s="58"/>
      <c r="C7" s="61"/>
      <c r="D7" s="64"/>
      <c r="E7" s="67"/>
      <c r="F7" s="67"/>
      <c r="G7" s="4" t="s">
        <v>104</v>
      </c>
      <c r="H7" s="13">
        <v>0.5</v>
      </c>
      <c r="I7" s="29">
        <f t="shared" si="0"/>
        <v>0.5</v>
      </c>
    </row>
    <row r="8" spans="1:9">
      <c r="A8" s="56"/>
      <c r="B8" s="58"/>
      <c r="C8" s="61"/>
      <c r="D8" s="64"/>
      <c r="E8" s="67"/>
      <c r="F8" s="67"/>
      <c r="G8" s="4" t="s">
        <v>105</v>
      </c>
      <c r="H8" s="13">
        <v>0.7752</v>
      </c>
      <c r="I8" s="29">
        <f t="shared" si="0"/>
        <v>0.7752</v>
      </c>
    </row>
    <row r="9" spans="1:9">
      <c r="A9" s="56"/>
      <c r="B9" s="58"/>
      <c r="C9" s="61"/>
      <c r="D9" s="64"/>
      <c r="E9" s="67"/>
      <c r="F9" s="67"/>
      <c r="G9" s="4" t="s">
        <v>93</v>
      </c>
      <c r="H9" s="13">
        <v>0.89</v>
      </c>
      <c r="I9" s="29">
        <f t="shared" si="0"/>
        <v>0.89</v>
      </c>
    </row>
    <row r="10" spans="1:9">
      <c r="A10" s="56"/>
      <c r="B10" s="58"/>
      <c r="C10" s="61"/>
      <c r="D10" s="64"/>
      <c r="E10" s="67"/>
      <c r="F10" s="67"/>
      <c r="G10" s="4" t="s">
        <v>106</v>
      </c>
      <c r="H10" s="13">
        <v>1.49</v>
      </c>
      <c r="I10" s="29">
        <f t="shared" si="0"/>
        <v>1.49</v>
      </c>
    </row>
    <row r="11" spans="1:9">
      <c r="A11" s="56"/>
      <c r="B11" s="58"/>
      <c r="C11" s="61"/>
      <c r="D11" s="64"/>
      <c r="E11" s="67"/>
      <c r="F11" s="67"/>
      <c r="G11" s="4" t="s">
        <v>107</v>
      </c>
      <c r="H11" s="13">
        <v>1.56</v>
      </c>
      <c r="I11" s="29">
        <f t="shared" si="0"/>
        <v>1.56</v>
      </c>
    </row>
    <row r="12" spans="1:9">
      <c r="A12" s="56"/>
      <c r="B12" s="58"/>
      <c r="C12" s="61"/>
      <c r="D12" s="64"/>
      <c r="E12" s="67"/>
      <c r="F12" s="67"/>
      <c r="G12" s="4" t="s">
        <v>108</v>
      </c>
      <c r="H12" s="13">
        <v>6.5</v>
      </c>
      <c r="I12" s="29">
        <f t="shared" si="0"/>
        <v>6.5</v>
      </c>
    </row>
    <row r="13" spans="1:9">
      <c r="A13" s="56"/>
      <c r="B13" s="58"/>
      <c r="C13" s="61"/>
      <c r="D13" s="64"/>
      <c r="E13" s="67"/>
      <c r="F13" s="67"/>
      <c r="G13" s="4" t="s">
        <v>109</v>
      </c>
      <c r="H13" s="13">
        <v>19.8</v>
      </c>
      <c r="I13" s="29" t="str">
        <f t="shared" si="0"/>
        <v>Descartado</v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75" t="s">
        <v>29</v>
      </c>
      <c r="H19" s="76"/>
      <c r="I19" s="31"/>
    </row>
    <row r="20" spans="1:11">
      <c r="A20" s="19">
        <f>IF(B20&lt;2,"N/A",(STDEV(H3:H17)))</f>
        <v>5.8681141638519616</v>
      </c>
      <c r="B20" s="19">
        <f>COUNT(H3:H17)</f>
        <v>11</v>
      </c>
      <c r="C20" s="20">
        <f>IF(B20&lt;2,"N/A",(A20/D20))</f>
        <v>1.9824710013013385</v>
      </c>
      <c r="D20" s="21">
        <f>ROUND(AVERAGE(H3:H17),2)</f>
        <v>2.96</v>
      </c>
      <c r="E20" s="22">
        <f>IFERROR(ROUND(IF(B20&lt;2,"N/A",(IF(C20&lt;=25%,"N/A",AVERAGE(I3:I17)))),2),"N/A")</f>
        <v>1.28</v>
      </c>
      <c r="F20" s="22">
        <f>ROUND(MEDIAN(H3:H17),2)</f>
        <v>0.78</v>
      </c>
      <c r="G20" s="23" t="str">
        <f>INDEX(G3:G17,MATCH(H20,H3:H17,0))</f>
        <v>TOPDESC INDUSTRIA E COMERCIO DE ACESSORIOS PARA SEGURANCA LTDA</v>
      </c>
      <c r="H20" s="24">
        <f>MIN(H3:H17)</f>
        <v>0.15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32</v>
      </c>
      <c r="H22" s="26">
        <f>IF(C20&lt;=25%,D20,MIN(E20:F20))</f>
        <v>0.78</v>
      </c>
    </row>
    <row r="23" spans="1:11">
      <c r="B23" s="32"/>
      <c r="C23" s="32"/>
      <c r="D23" s="77"/>
      <c r="E23" s="77"/>
      <c r="F23" s="36"/>
      <c r="G23" s="27" t="s">
        <v>9</v>
      </c>
      <c r="H23" s="28">
        <f>ROUND(H22,2)*D3</f>
        <v>2882.88</v>
      </c>
    </row>
    <row r="24" spans="1:11">
      <c r="B24" s="37"/>
      <c r="C24" s="37"/>
      <c r="D24" s="31"/>
      <c r="E24" s="31"/>
    </row>
    <row r="26" spans="1:11">
      <c r="A26" s="69" t="s">
        <v>20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21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22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23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24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25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26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3" t="s">
        <v>12</v>
      </c>
      <c r="B1" s="54"/>
      <c r="C1" s="54"/>
      <c r="D1" s="54"/>
      <c r="E1" s="54"/>
      <c r="F1" s="54"/>
      <c r="G1" s="54"/>
      <c r="H1" s="54"/>
      <c r="I1" s="55"/>
    </row>
    <row r="2" spans="1:9" ht="25.5">
      <c r="A2" s="56" t="s">
        <v>40</v>
      </c>
      <c r="B2" s="30" t="s">
        <v>19</v>
      </c>
      <c r="C2" s="30" t="s">
        <v>1</v>
      </c>
      <c r="D2" s="30" t="s">
        <v>2</v>
      </c>
      <c r="E2" s="14" t="s">
        <v>27</v>
      </c>
      <c r="F2" s="14" t="s">
        <v>28</v>
      </c>
      <c r="G2" s="30" t="s">
        <v>3</v>
      </c>
      <c r="H2" s="15" t="s">
        <v>4</v>
      </c>
      <c r="I2" s="16" t="s">
        <v>10</v>
      </c>
    </row>
    <row r="3" spans="1:9" ht="12.75" customHeight="1">
      <c r="A3" s="56"/>
      <c r="B3" s="57" t="s">
        <v>50</v>
      </c>
      <c r="C3" s="60" t="s">
        <v>8</v>
      </c>
      <c r="D3" s="63">
        <v>7392</v>
      </c>
      <c r="E3" s="66">
        <f>IF(C20&lt;=25%,D20,MIN(E20:F20))</f>
        <v>0.37</v>
      </c>
      <c r="F3" s="66">
        <f>MIN(H3:H17)</f>
        <v>0.24</v>
      </c>
      <c r="G3" s="4" t="s">
        <v>85</v>
      </c>
      <c r="H3" s="13">
        <v>0.24</v>
      </c>
      <c r="I3" s="29">
        <f>IF(H3="","",(IF($C$20&lt;25%,"N/A",IF(H3&lt;=($D$20+$A$20),H3,"Descartado"))))</f>
        <v>0.24</v>
      </c>
    </row>
    <row r="4" spans="1:9">
      <c r="A4" s="56"/>
      <c r="B4" s="58"/>
      <c r="C4" s="61"/>
      <c r="D4" s="64"/>
      <c r="E4" s="67"/>
      <c r="F4" s="67"/>
      <c r="G4" s="4" t="s">
        <v>86</v>
      </c>
      <c r="H4" s="13">
        <v>0.26</v>
      </c>
      <c r="I4" s="29">
        <f t="shared" ref="I4:I17" si="0">IF(H4="","",(IF($C$20&lt;25%,"N/A",IF(H4&lt;=($D$20+$A$20),H4,"Descartado"))))</f>
        <v>0.26</v>
      </c>
    </row>
    <row r="5" spans="1:9">
      <c r="A5" s="56"/>
      <c r="B5" s="58"/>
      <c r="C5" s="61"/>
      <c r="D5" s="64"/>
      <c r="E5" s="67"/>
      <c r="F5" s="67"/>
      <c r="G5" s="4" t="s">
        <v>87</v>
      </c>
      <c r="H5" s="13">
        <v>0.26</v>
      </c>
      <c r="I5" s="29">
        <f t="shared" si="0"/>
        <v>0.26</v>
      </c>
    </row>
    <row r="6" spans="1:9">
      <c r="A6" s="56"/>
      <c r="B6" s="58"/>
      <c r="C6" s="61"/>
      <c r="D6" s="64"/>
      <c r="E6" s="67"/>
      <c r="F6" s="67"/>
      <c r="G6" s="4" t="s">
        <v>88</v>
      </c>
      <c r="H6" s="13">
        <v>0.31</v>
      </c>
      <c r="I6" s="29">
        <f t="shared" si="0"/>
        <v>0.31</v>
      </c>
    </row>
    <row r="7" spans="1:9">
      <c r="A7" s="56"/>
      <c r="B7" s="58"/>
      <c r="C7" s="61"/>
      <c r="D7" s="64"/>
      <c r="E7" s="67"/>
      <c r="F7" s="67"/>
      <c r="G7" s="4" t="s">
        <v>89</v>
      </c>
      <c r="H7" s="13">
        <v>0.38</v>
      </c>
      <c r="I7" s="29">
        <f t="shared" si="0"/>
        <v>0.38</v>
      </c>
    </row>
    <row r="8" spans="1:9">
      <c r="A8" s="56"/>
      <c r="B8" s="58"/>
      <c r="C8" s="61"/>
      <c r="D8" s="64"/>
      <c r="E8" s="67"/>
      <c r="F8" s="67"/>
      <c r="G8" s="4" t="s">
        <v>90</v>
      </c>
      <c r="H8" s="13">
        <v>0.47</v>
      </c>
      <c r="I8" s="29">
        <f t="shared" si="0"/>
        <v>0.47</v>
      </c>
    </row>
    <row r="9" spans="1:9">
      <c r="A9" s="56"/>
      <c r="B9" s="58"/>
      <c r="C9" s="61"/>
      <c r="D9" s="64"/>
      <c r="E9" s="67"/>
      <c r="F9" s="67"/>
      <c r="G9" s="4" t="s">
        <v>91</v>
      </c>
      <c r="H9" s="13">
        <v>0.67430000000000001</v>
      </c>
      <c r="I9" s="29">
        <f t="shared" si="0"/>
        <v>0.67430000000000001</v>
      </c>
    </row>
    <row r="10" spans="1:9">
      <c r="A10" s="56"/>
      <c r="B10" s="58"/>
      <c r="C10" s="61"/>
      <c r="D10" s="64"/>
      <c r="E10" s="67"/>
      <c r="F10" s="67"/>
      <c r="G10" s="4" t="s">
        <v>92</v>
      </c>
      <c r="H10" s="13">
        <v>0.79</v>
      </c>
      <c r="I10" s="29" t="str">
        <f t="shared" si="0"/>
        <v>Descartado</v>
      </c>
    </row>
    <row r="11" spans="1:9">
      <c r="A11" s="56"/>
      <c r="B11" s="58"/>
      <c r="C11" s="61"/>
      <c r="D11" s="64"/>
      <c r="E11" s="67"/>
      <c r="F11" s="67"/>
      <c r="G11" s="4" t="s">
        <v>93</v>
      </c>
      <c r="H11" s="13">
        <v>0.79900000000000004</v>
      </c>
      <c r="I11" s="29" t="str">
        <f t="shared" si="0"/>
        <v>Descartado</v>
      </c>
    </row>
    <row r="12" spans="1:9">
      <c r="A12" s="56"/>
      <c r="B12" s="58"/>
      <c r="C12" s="61"/>
      <c r="D12" s="64"/>
      <c r="E12" s="67"/>
      <c r="F12" s="67"/>
      <c r="G12" s="4"/>
      <c r="H12" s="13"/>
      <c r="I12" s="29" t="str">
        <f t="shared" si="0"/>
        <v/>
      </c>
    </row>
    <row r="13" spans="1:9">
      <c r="A13" s="56"/>
      <c r="B13" s="58"/>
      <c r="C13" s="61"/>
      <c r="D13" s="64"/>
      <c r="E13" s="67"/>
      <c r="F13" s="67"/>
      <c r="G13" s="4"/>
      <c r="H13" s="13"/>
      <c r="I13" s="29" t="str">
        <f t="shared" si="0"/>
        <v/>
      </c>
    </row>
    <row r="14" spans="1:9">
      <c r="A14" s="56"/>
      <c r="B14" s="58"/>
      <c r="C14" s="61"/>
      <c r="D14" s="64"/>
      <c r="E14" s="67"/>
      <c r="F14" s="67"/>
      <c r="G14" s="4"/>
      <c r="H14" s="13"/>
      <c r="I14" s="29" t="str">
        <f t="shared" si="0"/>
        <v/>
      </c>
    </row>
    <row r="15" spans="1:9">
      <c r="A15" s="56"/>
      <c r="B15" s="58"/>
      <c r="C15" s="61"/>
      <c r="D15" s="64"/>
      <c r="E15" s="67"/>
      <c r="F15" s="67"/>
      <c r="G15" s="4"/>
      <c r="H15" s="13"/>
      <c r="I15" s="29" t="str">
        <f t="shared" si="0"/>
        <v/>
      </c>
    </row>
    <row r="16" spans="1:9">
      <c r="A16" s="56"/>
      <c r="B16" s="58"/>
      <c r="C16" s="61"/>
      <c r="D16" s="64"/>
      <c r="E16" s="67"/>
      <c r="F16" s="67"/>
      <c r="G16" s="4"/>
      <c r="H16" s="13"/>
      <c r="I16" s="29" t="str">
        <f t="shared" si="0"/>
        <v/>
      </c>
    </row>
    <row r="17" spans="1:11">
      <c r="A17" s="56"/>
      <c r="B17" s="59"/>
      <c r="C17" s="62"/>
      <c r="D17" s="65"/>
      <c r="E17" s="68"/>
      <c r="F17" s="68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30</v>
      </c>
      <c r="B19" s="16" t="s">
        <v>31</v>
      </c>
      <c r="C19" s="15" t="s">
        <v>5</v>
      </c>
      <c r="D19" s="17" t="s">
        <v>6</v>
      </c>
      <c r="E19" s="18" t="s">
        <v>11</v>
      </c>
      <c r="F19" s="17" t="s">
        <v>7</v>
      </c>
      <c r="G19" s="75" t="s">
        <v>29</v>
      </c>
      <c r="H19" s="76"/>
      <c r="I19" s="31"/>
    </row>
    <row r="20" spans="1:11">
      <c r="A20" s="19">
        <f>IF(B20&lt;2,"N/A",(STDEV(H3:H17)))</f>
        <v>0.23101330288775823</v>
      </c>
      <c r="B20" s="19">
        <f>COUNT(H3:H17)</f>
        <v>9</v>
      </c>
      <c r="C20" s="20">
        <f>IF(B20&lt;2,"N/A",(A20/D20))</f>
        <v>0.50220283236469176</v>
      </c>
      <c r="D20" s="21">
        <f>ROUND(AVERAGE(H3:H17),2)</f>
        <v>0.46</v>
      </c>
      <c r="E20" s="22">
        <f>IFERROR(ROUND(IF(B20&lt;2,"N/A",(IF(C20&lt;=25%,"N/A",AVERAGE(I3:I17)))),2),"N/A")</f>
        <v>0.37</v>
      </c>
      <c r="F20" s="22">
        <f>ROUND(MEDIAN(H3:H17),2)</f>
        <v>0.38</v>
      </c>
      <c r="G20" s="23" t="str">
        <f>INDEX(G3:G17,MATCH(H20,H3:H17,0))</f>
        <v>SAUDE COMERCIO DE PRODUTOS HOSPITALARES LTDA</v>
      </c>
      <c r="H20" s="24">
        <f>MIN(H3:H17)</f>
        <v>0.24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7"/>
      <c r="E22" s="77"/>
      <c r="F22" s="35"/>
      <c r="G22" s="25" t="s">
        <v>32</v>
      </c>
      <c r="H22" s="26">
        <f>IF(C20&lt;=25%,D20,MIN(E20:F20))</f>
        <v>0.37</v>
      </c>
    </row>
    <row r="23" spans="1:11">
      <c r="B23" s="32"/>
      <c r="C23" s="32"/>
      <c r="D23" s="77"/>
      <c r="E23" s="77"/>
      <c r="F23" s="36"/>
      <c r="G23" s="27" t="s">
        <v>9</v>
      </c>
      <c r="H23" s="28">
        <f>ROUND(H22,2)*D3</f>
        <v>2735.04</v>
      </c>
    </row>
    <row r="24" spans="1:11">
      <c r="B24" s="37"/>
      <c r="C24" s="37"/>
      <c r="D24" s="31"/>
      <c r="E24" s="31"/>
    </row>
    <row r="26" spans="1:11">
      <c r="A26" s="69" t="s">
        <v>20</v>
      </c>
      <c r="B26" s="70"/>
      <c r="C26" s="70"/>
      <c r="D26" s="70"/>
      <c r="E26" s="70"/>
      <c r="F26" s="70"/>
      <c r="G26" s="70"/>
      <c r="H26" s="70"/>
      <c r="I26" s="71"/>
    </row>
    <row r="27" spans="1:11" ht="12.75" customHeight="1">
      <c r="A27" s="69" t="s">
        <v>21</v>
      </c>
      <c r="B27" s="70"/>
      <c r="C27" s="70"/>
      <c r="D27" s="70"/>
      <c r="E27" s="70"/>
      <c r="F27" s="70"/>
      <c r="G27" s="70"/>
      <c r="H27" s="70"/>
      <c r="I27" s="71"/>
    </row>
    <row r="28" spans="1:11" ht="12.75" customHeight="1">
      <c r="A28" s="69" t="s">
        <v>22</v>
      </c>
      <c r="B28" s="70"/>
      <c r="C28" s="70"/>
      <c r="D28" s="70"/>
      <c r="E28" s="70"/>
      <c r="F28" s="70"/>
      <c r="G28" s="70"/>
      <c r="H28" s="70"/>
      <c r="I28" s="71"/>
    </row>
    <row r="29" spans="1:11">
      <c r="A29" s="69" t="s">
        <v>23</v>
      </c>
      <c r="B29" s="70"/>
      <c r="C29" s="70"/>
      <c r="D29" s="70"/>
      <c r="E29" s="70"/>
      <c r="F29" s="70"/>
      <c r="G29" s="70"/>
      <c r="H29" s="70"/>
      <c r="I29" s="71"/>
    </row>
    <row r="30" spans="1:11" ht="12.75" customHeight="1">
      <c r="A30" s="69" t="s">
        <v>24</v>
      </c>
      <c r="B30" s="70"/>
      <c r="C30" s="70"/>
      <c r="D30" s="70"/>
      <c r="E30" s="70"/>
      <c r="F30" s="70"/>
      <c r="G30" s="70"/>
      <c r="H30" s="70"/>
      <c r="I30" s="71"/>
    </row>
    <row r="31" spans="1:11" ht="12.75" customHeight="1">
      <c r="A31" s="69" t="s">
        <v>25</v>
      </c>
      <c r="B31" s="70"/>
      <c r="C31" s="70"/>
      <c r="D31" s="70"/>
      <c r="E31" s="70"/>
      <c r="F31" s="70"/>
      <c r="G31" s="70"/>
      <c r="H31" s="70"/>
      <c r="I31" s="71"/>
    </row>
    <row r="32" spans="1:11" ht="24.75" customHeight="1">
      <c r="A32" s="72" t="s">
        <v>26</v>
      </c>
      <c r="B32" s="73"/>
      <c r="C32" s="73"/>
      <c r="D32" s="73"/>
      <c r="E32" s="73"/>
      <c r="F32" s="73"/>
      <c r="G32" s="73"/>
      <c r="H32" s="73"/>
      <c r="I32" s="7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</vt:i4>
      </vt:variant>
    </vt:vector>
  </HeadingPairs>
  <TitlesOfParts>
    <vt:vector size="13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Item12</vt:lpstr>
      <vt:lpstr>TOTAL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2022-02-23T13:14:38Z</cp:lastPrinted>
  <dcterms:created xsi:type="dcterms:W3CDTF">2019-01-16T20:04:04Z</dcterms:created>
  <dcterms:modified xsi:type="dcterms:W3CDTF">2022-10-19T12:08:22Z</dcterms:modified>
</cp:coreProperties>
</file>