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716" firstSheet="15" activeTab="45"/>
  </bookViews>
  <sheets>
    <sheet name="Item1" sheetId="1" r:id="rId1"/>
    <sheet name="Item2" sheetId="2" r:id="rId2"/>
    <sheet name="Item3" sheetId="3" r:id="rId3"/>
    <sheet name="Item4" sheetId="4" r:id="rId4"/>
    <sheet name="Item5" sheetId="5" r:id="rId5"/>
    <sheet name="Item6" sheetId="6" r:id="rId6"/>
    <sheet name="Item7" sheetId="7" r:id="rId7"/>
    <sheet name="Item8" sheetId="8" r:id="rId8"/>
    <sheet name="Item9" sheetId="9" r:id="rId9"/>
    <sheet name="Item10" sheetId="10" r:id="rId10"/>
    <sheet name="Item11" sheetId="11" r:id="rId11"/>
    <sheet name="Item12" sheetId="12" r:id="rId12"/>
    <sheet name="Item13" sheetId="13" r:id="rId13"/>
    <sheet name="Item14" sheetId="14" r:id="rId14"/>
    <sheet name="Item15" sheetId="15" r:id="rId15"/>
    <sheet name="Item16" sheetId="16" r:id="rId16"/>
    <sheet name="Item17" sheetId="17" r:id="rId17"/>
    <sheet name="Item18" sheetId="18" r:id="rId18"/>
    <sheet name="Item19" sheetId="19" r:id="rId19"/>
    <sheet name="Item20" sheetId="20" r:id="rId20"/>
    <sheet name="Item21" sheetId="21" r:id="rId21"/>
    <sheet name="Item22" sheetId="22" r:id="rId22"/>
    <sheet name="Item23" sheetId="23" r:id="rId23"/>
    <sheet name="Item24" sheetId="24" r:id="rId24"/>
    <sheet name="Item25" sheetId="25" r:id="rId25"/>
    <sheet name="Item26" sheetId="26" r:id="rId26"/>
    <sheet name="Item27" sheetId="27" r:id="rId27"/>
    <sheet name="Item28" sheetId="28" r:id="rId28"/>
    <sheet name="Item29" sheetId="29" r:id="rId29"/>
    <sheet name="Item30" sheetId="30" state="hidden" r:id="rId30"/>
    <sheet name="Item31" sheetId="31" state="hidden" r:id="rId31"/>
    <sheet name="Item32" sheetId="32" state="hidden" r:id="rId32"/>
    <sheet name="Item33" sheetId="33" state="hidden" r:id="rId33"/>
    <sheet name="Item40" sheetId="40" state="hidden" r:id="rId34"/>
    <sheet name="Item41" sheetId="41" state="hidden" r:id="rId35"/>
    <sheet name="Item42" sheetId="42" state="hidden" r:id="rId36"/>
    <sheet name="Item43" sheetId="43" state="hidden" r:id="rId37"/>
    <sheet name="Item44" sheetId="44" state="hidden" r:id="rId38"/>
    <sheet name="Item45" sheetId="45" state="hidden" r:id="rId39"/>
    <sheet name="Item46" sheetId="46" state="hidden" r:id="rId40"/>
    <sheet name="Item47" sheetId="47" state="hidden" r:id="rId41"/>
    <sheet name="Item48" sheetId="48" state="hidden" r:id="rId42"/>
    <sheet name="Item49" sheetId="49" state="hidden" r:id="rId43"/>
    <sheet name="Item50" sheetId="50" state="hidden" r:id="rId44"/>
    <sheet name="TOTAL" sheetId="51" r:id="rId45"/>
    <sheet name="menores" sheetId="52" r:id="rId46"/>
  </sheets>
  <definedNames>
    <definedName name="_xlnm.Print_Area" localSheetId="45">menores!$A$1:$F$61</definedName>
    <definedName name="_xlnm.Print_Area" localSheetId="44">TOTAL!$A$1:$F$39</definedName>
    <definedName name="Print_Area_0" localSheetId="44">TOTAL!$A$8:$F$39</definedName>
    <definedName name="Print_Area_0_0" localSheetId="44">TOTAL!$A$8:$F$39</definedName>
    <definedName name="_xlnm.Print_Titles" localSheetId="45">menores!$1:$2</definedName>
    <definedName name="_xlnm.Print_Titles" localSheetId="44">TOTAL!$1:$9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61" i="52" l="1"/>
  <c r="F60" i="52"/>
  <c r="E60" i="52"/>
  <c r="D60" i="52"/>
  <c r="C60" i="52"/>
  <c r="B60" i="52"/>
  <c r="B59" i="52"/>
  <c r="F39" i="51"/>
  <c r="C38" i="51"/>
  <c r="D38" i="51"/>
  <c r="E38" i="51"/>
  <c r="B38" i="51"/>
  <c r="F38" i="51"/>
  <c r="D3" i="5"/>
  <c r="D3" i="26"/>
  <c r="D3" i="27"/>
  <c r="D3" i="28"/>
  <c r="D58" i="52" s="1"/>
  <c r="D3" i="29"/>
  <c r="C58" i="52"/>
  <c r="B58" i="52"/>
  <c r="C37" i="51"/>
  <c r="D37" i="51"/>
  <c r="B37" i="51"/>
  <c r="D3" i="10"/>
  <c r="D56" i="52" l="1"/>
  <c r="C56" i="52"/>
  <c r="B56" i="52"/>
  <c r="D54" i="52"/>
  <c r="C54" i="52"/>
  <c r="B54" i="52"/>
  <c r="D52" i="52"/>
  <c r="C52" i="52"/>
  <c r="B52" i="52"/>
  <c r="D50" i="52"/>
  <c r="C50" i="52"/>
  <c r="B50" i="52"/>
  <c r="D48" i="52"/>
  <c r="C48" i="52"/>
  <c r="B48" i="52"/>
  <c r="D46" i="52"/>
  <c r="C46" i="52"/>
  <c r="B46" i="52"/>
  <c r="D44" i="52"/>
  <c r="C44" i="52"/>
  <c r="B44" i="52"/>
  <c r="D42" i="52"/>
  <c r="C42" i="52"/>
  <c r="B42" i="52"/>
  <c r="D40" i="52"/>
  <c r="C40" i="52"/>
  <c r="B40" i="52"/>
  <c r="D38" i="52"/>
  <c r="C38" i="52"/>
  <c r="B38" i="52"/>
  <c r="D36" i="52"/>
  <c r="C36" i="52"/>
  <c r="B36" i="52"/>
  <c r="D34" i="52"/>
  <c r="C34" i="52"/>
  <c r="B34" i="52"/>
  <c r="D32" i="52"/>
  <c r="C32" i="52"/>
  <c r="B32" i="52"/>
  <c r="D30" i="52"/>
  <c r="C30" i="52"/>
  <c r="B30" i="52"/>
  <c r="D28" i="52"/>
  <c r="C28" i="52"/>
  <c r="B28" i="52"/>
  <c r="D26" i="52"/>
  <c r="C26" i="52"/>
  <c r="B26" i="52"/>
  <c r="D24" i="52"/>
  <c r="C24" i="52"/>
  <c r="B24" i="52"/>
  <c r="D22" i="52"/>
  <c r="C22" i="52"/>
  <c r="B22" i="52"/>
  <c r="D20" i="52"/>
  <c r="C20" i="52"/>
  <c r="B20" i="52"/>
  <c r="D18" i="52"/>
  <c r="C18" i="52"/>
  <c r="B18" i="52"/>
  <c r="D16" i="52"/>
  <c r="C16" i="52"/>
  <c r="B16" i="52"/>
  <c r="D14" i="52"/>
  <c r="C14" i="52"/>
  <c r="B14" i="52"/>
  <c r="D12" i="52"/>
  <c r="C12" i="52"/>
  <c r="B12" i="52"/>
  <c r="D10" i="52"/>
  <c r="C10" i="52"/>
  <c r="B10" i="52"/>
  <c r="D8" i="52"/>
  <c r="C8" i="52"/>
  <c r="B8" i="52"/>
  <c r="D6" i="52"/>
  <c r="C6" i="52"/>
  <c r="B6" i="52"/>
  <c r="D4" i="52"/>
  <c r="C4" i="52"/>
  <c r="B4" i="52"/>
  <c r="D36" i="51"/>
  <c r="C36" i="51"/>
  <c r="B36" i="51"/>
  <c r="D35" i="51"/>
  <c r="C35" i="51"/>
  <c r="B35" i="51"/>
  <c r="D34" i="51"/>
  <c r="C34" i="51"/>
  <c r="B34" i="51"/>
  <c r="D33" i="51"/>
  <c r="C33" i="51"/>
  <c r="B33" i="51"/>
  <c r="D32" i="51"/>
  <c r="C32" i="51"/>
  <c r="B32" i="51"/>
  <c r="D31" i="51"/>
  <c r="C31" i="51"/>
  <c r="B31" i="51"/>
  <c r="D30" i="51"/>
  <c r="C30" i="51"/>
  <c r="B30" i="51"/>
  <c r="D29" i="51"/>
  <c r="C29" i="51"/>
  <c r="B29" i="51"/>
  <c r="D28" i="51"/>
  <c r="C28" i="51"/>
  <c r="B28" i="51"/>
  <c r="D27" i="51"/>
  <c r="C27" i="51"/>
  <c r="B27" i="51"/>
  <c r="D26" i="51"/>
  <c r="C26" i="51"/>
  <c r="B26" i="51"/>
  <c r="D25" i="51"/>
  <c r="C25" i="51"/>
  <c r="B25" i="51"/>
  <c r="D24" i="51"/>
  <c r="C24" i="51"/>
  <c r="B24" i="51"/>
  <c r="D23" i="51"/>
  <c r="C23" i="51"/>
  <c r="B23" i="51"/>
  <c r="D22" i="51"/>
  <c r="C22" i="51"/>
  <c r="B22" i="51"/>
  <c r="D21" i="51"/>
  <c r="C21" i="51"/>
  <c r="B21" i="51"/>
  <c r="D20" i="51"/>
  <c r="C20" i="51"/>
  <c r="B20" i="51"/>
  <c r="D19" i="51"/>
  <c r="C19" i="51"/>
  <c r="B19" i="51"/>
  <c r="D18" i="51"/>
  <c r="C18" i="51"/>
  <c r="B18" i="51"/>
  <c r="D17" i="51"/>
  <c r="C17" i="51"/>
  <c r="B17" i="51"/>
  <c r="D16" i="51"/>
  <c r="C16" i="51"/>
  <c r="B16" i="51"/>
  <c r="D15" i="51"/>
  <c r="C15" i="51"/>
  <c r="B15" i="51"/>
  <c r="D14" i="51"/>
  <c r="C14" i="51"/>
  <c r="B14" i="51"/>
  <c r="D13" i="51"/>
  <c r="C13" i="51"/>
  <c r="B13" i="51"/>
  <c r="D12" i="51"/>
  <c r="C12" i="51"/>
  <c r="B12" i="51"/>
  <c r="D11" i="51"/>
  <c r="C11" i="51"/>
  <c r="B11" i="51"/>
  <c r="D10" i="51"/>
  <c r="C10" i="51"/>
  <c r="B10" i="51"/>
  <c r="H20" i="50"/>
  <c r="G20" i="50" s="1"/>
  <c r="F20" i="50"/>
  <c r="E20" i="50"/>
  <c r="D20" i="50"/>
  <c r="B20" i="50"/>
  <c r="C20" i="50" s="1"/>
  <c r="I17" i="50"/>
  <c r="I16" i="50"/>
  <c r="I15" i="50"/>
  <c r="I14" i="50"/>
  <c r="I13" i="50"/>
  <c r="I12" i="50"/>
  <c r="I11" i="50"/>
  <c r="I10" i="50"/>
  <c r="I9" i="50"/>
  <c r="I8" i="50"/>
  <c r="I7" i="50"/>
  <c r="I6" i="50"/>
  <c r="I5" i="50"/>
  <c r="I4" i="50"/>
  <c r="I3" i="50"/>
  <c r="F3" i="50"/>
  <c r="H20" i="49"/>
  <c r="G20" i="49" s="1"/>
  <c r="F20" i="49"/>
  <c r="D20" i="49"/>
  <c r="B20" i="49"/>
  <c r="A20" i="49" s="1"/>
  <c r="I17" i="49"/>
  <c r="I16" i="49"/>
  <c r="I15" i="49"/>
  <c r="I14" i="49"/>
  <c r="I13" i="49"/>
  <c r="I12" i="49"/>
  <c r="I11" i="49"/>
  <c r="I10" i="49"/>
  <c r="I9" i="49"/>
  <c r="I8" i="49"/>
  <c r="I7" i="49"/>
  <c r="I6" i="49"/>
  <c r="I5" i="49"/>
  <c r="I4" i="49"/>
  <c r="I3" i="49"/>
  <c r="F3" i="49"/>
  <c r="H20" i="48"/>
  <c r="G20" i="48" s="1"/>
  <c r="F20" i="48"/>
  <c r="E20" i="48"/>
  <c r="D20" i="48"/>
  <c r="B20" i="48"/>
  <c r="C20" i="48" s="1"/>
  <c r="I17" i="48"/>
  <c r="I16" i="48"/>
  <c r="I15" i="48"/>
  <c r="I14" i="48"/>
  <c r="I13" i="48"/>
  <c r="I12" i="48"/>
  <c r="I11" i="48"/>
  <c r="I10" i="48"/>
  <c r="I9" i="48"/>
  <c r="I8" i="48"/>
  <c r="I7" i="48"/>
  <c r="I6" i="48"/>
  <c r="I5" i="48"/>
  <c r="I4" i="48"/>
  <c r="I3" i="48"/>
  <c r="F3" i="48"/>
  <c r="H20" i="47"/>
  <c r="G20" i="47" s="1"/>
  <c r="F20" i="47"/>
  <c r="D20" i="47"/>
  <c r="B20" i="47"/>
  <c r="A20" i="47" s="1"/>
  <c r="I17" i="47"/>
  <c r="I16" i="47"/>
  <c r="I15" i="47"/>
  <c r="I14" i="47"/>
  <c r="I13" i="47"/>
  <c r="I12" i="47"/>
  <c r="I11" i="47"/>
  <c r="I10" i="47"/>
  <c r="I9" i="47"/>
  <c r="I8" i="47"/>
  <c r="I7" i="47"/>
  <c r="I6" i="47"/>
  <c r="I5" i="47"/>
  <c r="I4" i="47"/>
  <c r="I3" i="47"/>
  <c r="F3" i="47"/>
  <c r="H20" i="46"/>
  <c r="G20" i="46" s="1"/>
  <c r="F20" i="46"/>
  <c r="E20" i="46"/>
  <c r="D20" i="46"/>
  <c r="B20" i="46"/>
  <c r="C20" i="46" s="1"/>
  <c r="I17" i="46"/>
  <c r="I16" i="46"/>
  <c r="I15" i="46"/>
  <c r="I14" i="46"/>
  <c r="I13" i="46"/>
  <c r="I12" i="46"/>
  <c r="I11" i="46"/>
  <c r="I10" i="46"/>
  <c r="I9" i="46"/>
  <c r="I8" i="46"/>
  <c r="I7" i="46"/>
  <c r="I6" i="46"/>
  <c r="I5" i="46"/>
  <c r="I4" i="46"/>
  <c r="I3" i="46"/>
  <c r="F3" i="46"/>
  <c r="H20" i="45"/>
  <c r="G20" i="45" s="1"/>
  <c r="F20" i="45"/>
  <c r="D20" i="45"/>
  <c r="B20" i="45"/>
  <c r="I17" i="45"/>
  <c r="I16" i="45"/>
  <c r="I15" i="45"/>
  <c r="I14" i="45"/>
  <c r="I13" i="45"/>
  <c r="I12" i="45"/>
  <c r="I11" i="45"/>
  <c r="I10" i="45"/>
  <c r="I9" i="45"/>
  <c r="I8" i="45"/>
  <c r="I7" i="45"/>
  <c r="I6" i="45"/>
  <c r="I5" i="45"/>
  <c r="I4" i="45"/>
  <c r="I3" i="45"/>
  <c r="F3" i="45"/>
  <c r="H20" i="44"/>
  <c r="G20" i="44" s="1"/>
  <c r="F20" i="44"/>
  <c r="E20" i="44"/>
  <c r="D20" i="44"/>
  <c r="B20" i="44"/>
  <c r="C20" i="44" s="1"/>
  <c r="I17" i="44"/>
  <c r="I16" i="44"/>
  <c r="I15" i="44"/>
  <c r="I14" i="44"/>
  <c r="I13" i="44"/>
  <c r="I12" i="44"/>
  <c r="I11" i="44"/>
  <c r="I10" i="44"/>
  <c r="I9" i="44"/>
  <c r="I8" i="44"/>
  <c r="I7" i="44"/>
  <c r="I6" i="44"/>
  <c r="I5" i="44"/>
  <c r="I4" i="44"/>
  <c r="I3" i="44"/>
  <c r="F3" i="44"/>
  <c r="H20" i="43"/>
  <c r="G20" i="43" s="1"/>
  <c r="F20" i="43"/>
  <c r="D20" i="43"/>
  <c r="B20" i="43"/>
  <c r="I17" i="43"/>
  <c r="I16" i="43"/>
  <c r="I15" i="43"/>
  <c r="I14" i="43"/>
  <c r="I13" i="43"/>
  <c r="I12" i="43"/>
  <c r="I11" i="43"/>
  <c r="I10" i="43"/>
  <c r="I9" i="43"/>
  <c r="I8" i="43"/>
  <c r="I7" i="43"/>
  <c r="I6" i="43"/>
  <c r="I5" i="43"/>
  <c r="I4" i="43"/>
  <c r="I3" i="43"/>
  <c r="F3" i="43"/>
  <c r="H20" i="42"/>
  <c r="G20" i="42" s="1"/>
  <c r="F20" i="42"/>
  <c r="E20" i="42"/>
  <c r="D20" i="42"/>
  <c r="B20" i="42"/>
  <c r="C20" i="42" s="1"/>
  <c r="I17" i="42"/>
  <c r="I16" i="42"/>
  <c r="I15" i="42"/>
  <c r="I14" i="42"/>
  <c r="I13" i="42"/>
  <c r="I12" i="42"/>
  <c r="I11" i="42"/>
  <c r="I10" i="42"/>
  <c r="I9" i="42"/>
  <c r="I8" i="42"/>
  <c r="I7" i="42"/>
  <c r="I6" i="42"/>
  <c r="I5" i="42"/>
  <c r="I4" i="42"/>
  <c r="I3" i="42"/>
  <c r="F3" i="42"/>
  <c r="H20" i="41"/>
  <c r="G20" i="41" s="1"/>
  <c r="F20" i="41"/>
  <c r="D20" i="41"/>
  <c r="B20" i="41"/>
  <c r="I17" i="41"/>
  <c r="I16" i="41"/>
  <c r="I15" i="41"/>
  <c r="I14" i="41"/>
  <c r="I13" i="41"/>
  <c r="I12" i="41"/>
  <c r="I11" i="41"/>
  <c r="I10" i="41"/>
  <c r="I9" i="41"/>
  <c r="I8" i="41"/>
  <c r="I7" i="41"/>
  <c r="I6" i="41"/>
  <c r="I5" i="41"/>
  <c r="I4" i="41"/>
  <c r="I3" i="41"/>
  <c r="F3" i="41"/>
  <c r="H20" i="40"/>
  <c r="G20" i="40" s="1"/>
  <c r="F20" i="40"/>
  <c r="E20" i="40"/>
  <c r="D20" i="40"/>
  <c r="B20" i="40"/>
  <c r="C20" i="40" s="1"/>
  <c r="I17" i="40"/>
  <c r="I16" i="40"/>
  <c r="I15" i="40"/>
  <c r="I14" i="40"/>
  <c r="I13" i="40"/>
  <c r="I12" i="40"/>
  <c r="I11" i="40"/>
  <c r="I10" i="40"/>
  <c r="I9" i="40"/>
  <c r="I8" i="40"/>
  <c r="I7" i="40"/>
  <c r="I6" i="40"/>
  <c r="I5" i="40"/>
  <c r="I4" i="40"/>
  <c r="I3" i="40"/>
  <c r="F3" i="40"/>
  <c r="H20" i="33"/>
  <c r="G20" i="33" s="1"/>
  <c r="F20" i="33"/>
  <c r="E20" i="33"/>
  <c r="D20" i="33"/>
  <c r="C20" i="33"/>
  <c r="H22" i="33" s="1"/>
  <c r="H23" i="33" s="1"/>
  <c r="B20" i="33"/>
  <c r="A20" i="33" s="1"/>
  <c r="I17" i="33"/>
  <c r="I16" i="33"/>
  <c r="I15" i="33"/>
  <c r="I14" i="33"/>
  <c r="I13" i="33"/>
  <c r="I12" i="33"/>
  <c r="I11" i="33"/>
  <c r="I10" i="33"/>
  <c r="I9" i="33"/>
  <c r="I8" i="33"/>
  <c r="I7" i="33"/>
  <c r="I5" i="33"/>
  <c r="I4" i="33"/>
  <c r="I3" i="33"/>
  <c r="F3" i="33"/>
  <c r="E3" i="33"/>
  <c r="H20" i="32"/>
  <c r="G20" i="32" s="1"/>
  <c r="F20" i="32"/>
  <c r="D20" i="32"/>
  <c r="B20" i="32"/>
  <c r="A20" i="32" s="1"/>
  <c r="C20" i="32" s="1"/>
  <c r="I17" i="32"/>
  <c r="I16" i="32"/>
  <c r="I15" i="32"/>
  <c r="I14" i="32"/>
  <c r="I13" i="32"/>
  <c r="I12" i="32"/>
  <c r="F3" i="32"/>
  <c r="H20" i="31"/>
  <c r="G20" i="31" s="1"/>
  <c r="F20" i="31"/>
  <c r="D20" i="31"/>
  <c r="B20" i="31"/>
  <c r="A20" i="31" s="1"/>
  <c r="C20" i="31" s="1"/>
  <c r="I17" i="31"/>
  <c r="I16" i="31"/>
  <c r="I15" i="31"/>
  <c r="I14" i="31"/>
  <c r="I13" i="31"/>
  <c r="I12" i="31"/>
  <c r="I11" i="31"/>
  <c r="F3" i="31"/>
  <c r="H20" i="30"/>
  <c r="G20" i="30" s="1"/>
  <c r="F20" i="30"/>
  <c r="D20" i="30"/>
  <c r="B20" i="30"/>
  <c r="A20" i="30" s="1"/>
  <c r="C20" i="30" s="1"/>
  <c r="I17" i="30"/>
  <c r="I16" i="30"/>
  <c r="I15" i="30"/>
  <c r="I14" i="30"/>
  <c r="I13" i="30"/>
  <c r="I12" i="30"/>
  <c r="I11" i="30"/>
  <c r="F3" i="30"/>
  <c r="H20" i="29"/>
  <c r="G20" i="29" s="1"/>
  <c r="F20" i="29"/>
  <c r="D20" i="29"/>
  <c r="B20" i="29"/>
  <c r="A20" i="29" s="1"/>
  <c r="C20" i="29" s="1"/>
  <c r="I8" i="29" s="1"/>
  <c r="I17" i="29"/>
  <c r="I16" i="29"/>
  <c r="I15" i="29"/>
  <c r="I14" i="29"/>
  <c r="I13" i="29"/>
  <c r="I12" i="29"/>
  <c r="I11" i="29"/>
  <c r="I10" i="29"/>
  <c r="I9" i="29"/>
  <c r="I7" i="29"/>
  <c r="F3" i="29"/>
  <c r="H20" i="28"/>
  <c r="G20" i="28" s="1"/>
  <c r="B57" i="52" s="1"/>
  <c r="F20" i="28"/>
  <c r="D20" i="28"/>
  <c r="B20" i="28"/>
  <c r="A20" i="28" s="1"/>
  <c r="I17" i="28"/>
  <c r="I16" i="28"/>
  <c r="I15" i="28"/>
  <c r="I14" i="28"/>
  <c r="I13" i="28"/>
  <c r="I12" i="28"/>
  <c r="I11" i="28"/>
  <c r="I10" i="28"/>
  <c r="I9" i="28"/>
  <c r="F3" i="28"/>
  <c r="E58" i="52" s="1"/>
  <c r="F58" i="52" s="1"/>
  <c r="H20" i="27"/>
  <c r="G20" i="27" s="1"/>
  <c r="B55" i="52" s="1"/>
  <c r="F20" i="27"/>
  <c r="D20" i="27"/>
  <c r="B20" i="27"/>
  <c r="A20" i="27" s="1"/>
  <c r="I17" i="27"/>
  <c r="I16" i="27"/>
  <c r="I15" i="27"/>
  <c r="I14" i="27"/>
  <c r="I13" i="27"/>
  <c r="I12" i="27"/>
  <c r="I11" i="27"/>
  <c r="I10" i="27"/>
  <c r="F3" i="27"/>
  <c r="E56" i="52" s="1"/>
  <c r="F56" i="52" s="1"/>
  <c r="H20" i="26"/>
  <c r="G20" i="26" s="1"/>
  <c r="B53" i="52" s="1"/>
  <c r="F20" i="26"/>
  <c r="D20" i="26"/>
  <c r="B20" i="26"/>
  <c r="A20" i="26" s="1"/>
  <c r="C20" i="26" s="1"/>
  <c r="I7" i="26" s="1"/>
  <c r="I17" i="26"/>
  <c r="I16" i="26"/>
  <c r="I15" i="26"/>
  <c r="I14" i="26"/>
  <c r="I13" i="26"/>
  <c r="I12" i="26"/>
  <c r="I11" i="26"/>
  <c r="I10" i="26"/>
  <c r="F3" i="26"/>
  <c r="E54" i="52" s="1"/>
  <c r="H20" i="25"/>
  <c r="G20" i="25" s="1"/>
  <c r="B51" i="52" s="1"/>
  <c r="F20" i="25"/>
  <c r="D20" i="25"/>
  <c r="B20" i="25"/>
  <c r="A20" i="25" s="1"/>
  <c r="I17" i="25"/>
  <c r="I16" i="25"/>
  <c r="I15" i="25"/>
  <c r="I14" i="25"/>
  <c r="I13" i="25"/>
  <c r="I12" i="25"/>
  <c r="I11" i="25"/>
  <c r="I10" i="25"/>
  <c r="I9" i="25"/>
  <c r="I8" i="25"/>
  <c r="F3" i="25"/>
  <c r="E52" i="52" s="1"/>
  <c r="H20" i="24"/>
  <c r="G20" i="24" s="1"/>
  <c r="B49" i="52" s="1"/>
  <c r="F20" i="24"/>
  <c r="D20" i="24"/>
  <c r="B20" i="24"/>
  <c r="A20" i="24" s="1"/>
  <c r="C20" i="24" s="1"/>
  <c r="I17" i="24"/>
  <c r="I16" i="24"/>
  <c r="I15" i="24"/>
  <c r="I14" i="24"/>
  <c r="I13" i="24"/>
  <c r="I12" i="24"/>
  <c r="F3" i="24"/>
  <c r="E50" i="52" s="1"/>
  <c r="F50" i="52" s="1"/>
  <c r="H20" i="23"/>
  <c r="G20" i="23" s="1"/>
  <c r="B47" i="52" s="1"/>
  <c r="F20" i="23"/>
  <c r="D20" i="23"/>
  <c r="B20" i="23"/>
  <c r="A20" i="23" s="1"/>
  <c r="I17" i="23"/>
  <c r="I16" i="23"/>
  <c r="I15" i="23"/>
  <c r="I14" i="23"/>
  <c r="I13" i="23"/>
  <c r="I12" i="23"/>
  <c r="I11" i="23"/>
  <c r="F3" i="23"/>
  <c r="E48" i="52" s="1"/>
  <c r="F48" i="52" s="1"/>
  <c r="H20" i="22"/>
  <c r="G20" i="22" s="1"/>
  <c r="B45" i="52" s="1"/>
  <c r="F20" i="22"/>
  <c r="D20" i="22"/>
  <c r="B20" i="22"/>
  <c r="I17" i="22"/>
  <c r="I16" i="22"/>
  <c r="I15" i="22"/>
  <c r="I14" i="22"/>
  <c r="F3" i="22"/>
  <c r="E46" i="52" s="1"/>
  <c r="H20" i="21"/>
  <c r="G20" i="21" s="1"/>
  <c r="B43" i="52" s="1"/>
  <c r="F20" i="21"/>
  <c r="D20" i="21"/>
  <c r="B20" i="21"/>
  <c r="A20" i="21" s="1"/>
  <c r="I17" i="21"/>
  <c r="I16" i="21"/>
  <c r="I15" i="21"/>
  <c r="I14" i="21"/>
  <c r="I13" i="21"/>
  <c r="I12" i="21"/>
  <c r="I11" i="21"/>
  <c r="I10" i="21"/>
  <c r="I9" i="21"/>
  <c r="F3" i="21"/>
  <c r="E44" i="52" s="1"/>
  <c r="H20" i="20"/>
  <c r="G20" i="20" s="1"/>
  <c r="B41" i="52" s="1"/>
  <c r="F20" i="20"/>
  <c r="D20" i="20"/>
  <c r="B20" i="20"/>
  <c r="I17" i="20"/>
  <c r="I16" i="20"/>
  <c r="I15" i="20"/>
  <c r="I14" i="20"/>
  <c r="I13" i="20"/>
  <c r="I12" i="20"/>
  <c r="I11" i="20"/>
  <c r="F3" i="20"/>
  <c r="E42" i="52" s="1"/>
  <c r="H20" i="19"/>
  <c r="G20" i="19" s="1"/>
  <c r="B39" i="52" s="1"/>
  <c r="F20" i="19"/>
  <c r="D20" i="19"/>
  <c r="B20" i="19"/>
  <c r="A20" i="19" s="1"/>
  <c r="I17" i="19"/>
  <c r="I16" i="19"/>
  <c r="I15" i="19"/>
  <c r="F3" i="19"/>
  <c r="E40" i="52" s="1"/>
  <c r="F40" i="52" s="1"/>
  <c r="H20" i="18"/>
  <c r="G20" i="18" s="1"/>
  <c r="B37" i="52" s="1"/>
  <c r="F20" i="18"/>
  <c r="D20" i="18"/>
  <c r="B20" i="18"/>
  <c r="I17" i="18"/>
  <c r="I16" i="18"/>
  <c r="I15" i="18"/>
  <c r="F3" i="18"/>
  <c r="E38" i="52" s="1"/>
  <c r="H20" i="17"/>
  <c r="G20" i="17" s="1"/>
  <c r="B35" i="52" s="1"/>
  <c r="F20" i="17"/>
  <c r="D20" i="17"/>
  <c r="B20" i="17"/>
  <c r="I17" i="17"/>
  <c r="I16" i="17"/>
  <c r="I15" i="17"/>
  <c r="I14" i="17"/>
  <c r="I13" i="17"/>
  <c r="I12" i="17"/>
  <c r="I11" i="17"/>
  <c r="I10" i="17"/>
  <c r="F3" i="17"/>
  <c r="E36" i="52" s="1"/>
  <c r="F36" i="52" s="1"/>
  <c r="H20" i="16"/>
  <c r="G20" i="16" s="1"/>
  <c r="B33" i="52" s="1"/>
  <c r="F20" i="16"/>
  <c r="D20" i="16"/>
  <c r="B20" i="16"/>
  <c r="I17" i="16"/>
  <c r="I16" i="16"/>
  <c r="I15" i="16"/>
  <c r="I14" i="16"/>
  <c r="I13" i="16"/>
  <c r="I12" i="16"/>
  <c r="I11" i="16"/>
  <c r="I10" i="16"/>
  <c r="I9" i="16"/>
  <c r="I8" i="16"/>
  <c r="F3" i="16"/>
  <c r="E34" i="52" s="1"/>
  <c r="H20" i="15"/>
  <c r="G20" i="15" s="1"/>
  <c r="B31" i="52" s="1"/>
  <c r="F20" i="15"/>
  <c r="D20" i="15"/>
  <c r="B20" i="15"/>
  <c r="I17" i="15"/>
  <c r="I16" i="15"/>
  <c r="I15" i="15"/>
  <c r="I14" i="15"/>
  <c r="I13" i="15"/>
  <c r="I12" i="15"/>
  <c r="I11" i="15"/>
  <c r="F3" i="15"/>
  <c r="E32" i="52" s="1"/>
  <c r="F32" i="52" s="1"/>
  <c r="H20" i="14"/>
  <c r="G20" i="14" s="1"/>
  <c r="B29" i="52" s="1"/>
  <c r="F20" i="14"/>
  <c r="D20" i="14"/>
  <c r="B20" i="14"/>
  <c r="I17" i="14"/>
  <c r="I16" i="14"/>
  <c r="I15" i="14"/>
  <c r="I14" i="14"/>
  <c r="I13" i="14"/>
  <c r="I12" i="14"/>
  <c r="I11" i="14"/>
  <c r="I10" i="14"/>
  <c r="F3" i="14"/>
  <c r="E30" i="52" s="1"/>
  <c r="H20" i="13"/>
  <c r="G20" i="13" s="1"/>
  <c r="B27" i="52" s="1"/>
  <c r="F20" i="13"/>
  <c r="D20" i="13"/>
  <c r="B20" i="13"/>
  <c r="A20" i="13" s="1"/>
  <c r="I17" i="13"/>
  <c r="I16" i="13"/>
  <c r="I15" i="13"/>
  <c r="I14" i="13"/>
  <c r="I13" i="13"/>
  <c r="I12" i="13"/>
  <c r="I11" i="13"/>
  <c r="I10" i="13"/>
  <c r="I9" i="13"/>
  <c r="I8" i="13"/>
  <c r="I7" i="13"/>
  <c r="F3" i="13"/>
  <c r="E28" i="52" s="1"/>
  <c r="F28" i="52" s="1"/>
  <c r="H20" i="12"/>
  <c r="G20" i="12" s="1"/>
  <c r="B25" i="52" s="1"/>
  <c r="F20" i="12"/>
  <c r="D20" i="12"/>
  <c r="B20" i="12"/>
  <c r="A20" i="12" s="1"/>
  <c r="I17" i="12"/>
  <c r="I16" i="12"/>
  <c r="I15" i="12"/>
  <c r="I14" i="12"/>
  <c r="I13" i="12"/>
  <c r="I12" i="12"/>
  <c r="I11" i="12"/>
  <c r="I10" i="12"/>
  <c r="I9" i="12"/>
  <c r="F3" i="12"/>
  <c r="E26" i="52" s="1"/>
  <c r="H20" i="11"/>
  <c r="G20" i="11" s="1"/>
  <c r="B23" i="52" s="1"/>
  <c r="F20" i="11"/>
  <c r="D20" i="11"/>
  <c r="B20" i="11"/>
  <c r="A20" i="11" s="1"/>
  <c r="I17" i="11"/>
  <c r="I16" i="11"/>
  <c r="I15" i="11"/>
  <c r="I14" i="11"/>
  <c r="I13" i="11"/>
  <c r="I12" i="11"/>
  <c r="I11" i="11"/>
  <c r="I10" i="11"/>
  <c r="F3" i="11"/>
  <c r="E24" i="52" s="1"/>
  <c r="F24" i="52" s="1"/>
  <c r="H20" i="10"/>
  <c r="G20" i="10" s="1"/>
  <c r="B21" i="52" s="1"/>
  <c r="F20" i="10"/>
  <c r="D20" i="10"/>
  <c r="B20" i="10"/>
  <c r="I17" i="10"/>
  <c r="I16" i="10"/>
  <c r="I15" i="10"/>
  <c r="I14" i="10"/>
  <c r="I13" i="10"/>
  <c r="I12" i="10"/>
  <c r="I11" i="10"/>
  <c r="F3" i="10"/>
  <c r="E22" i="52" s="1"/>
  <c r="H20" i="9"/>
  <c r="G20" i="9" s="1"/>
  <c r="B19" i="52" s="1"/>
  <c r="F20" i="9"/>
  <c r="D20" i="9"/>
  <c r="B20" i="9"/>
  <c r="I17" i="9"/>
  <c r="I16" i="9"/>
  <c r="I15" i="9"/>
  <c r="I14" i="9"/>
  <c r="I13" i="9"/>
  <c r="I12" i="9"/>
  <c r="I11" i="9"/>
  <c r="I10" i="9"/>
  <c r="I9" i="9"/>
  <c r="F3" i="9"/>
  <c r="E20" i="52" s="1"/>
  <c r="F20" i="52" s="1"/>
  <c r="H20" i="8"/>
  <c r="G20" i="8" s="1"/>
  <c r="B17" i="52" s="1"/>
  <c r="F20" i="8"/>
  <c r="D20" i="8"/>
  <c r="B20" i="8"/>
  <c r="A20" i="8" s="1"/>
  <c r="I17" i="8"/>
  <c r="I16" i="8"/>
  <c r="I15" i="8"/>
  <c r="I14" i="8"/>
  <c r="I13" i="8"/>
  <c r="I12" i="8"/>
  <c r="I11" i="8"/>
  <c r="I10" i="8"/>
  <c r="I9" i="8"/>
  <c r="I8" i="8"/>
  <c r="I7" i="8"/>
  <c r="F3" i="8"/>
  <c r="E18" i="52" s="1"/>
  <c r="H20" i="7"/>
  <c r="G20" i="7" s="1"/>
  <c r="B15" i="52" s="1"/>
  <c r="F20" i="7"/>
  <c r="D20" i="7"/>
  <c r="B20" i="7"/>
  <c r="I17" i="7"/>
  <c r="I16" i="7"/>
  <c r="I15" i="7"/>
  <c r="I14" i="7"/>
  <c r="I13" i="7"/>
  <c r="F3" i="7"/>
  <c r="E16" i="52" s="1"/>
  <c r="H20" i="6"/>
  <c r="G20" i="6" s="1"/>
  <c r="B13" i="52" s="1"/>
  <c r="F20" i="6"/>
  <c r="D20" i="6"/>
  <c r="B20" i="6"/>
  <c r="A20" i="6" s="1"/>
  <c r="I17" i="6"/>
  <c r="I16" i="6"/>
  <c r="I15" i="6"/>
  <c r="I14" i="6"/>
  <c r="I13" i="6"/>
  <c r="I12" i="6"/>
  <c r="I11" i="6"/>
  <c r="I10" i="6"/>
  <c r="F3" i="6"/>
  <c r="E14" i="52" s="1"/>
  <c r="H20" i="5"/>
  <c r="G20" i="5" s="1"/>
  <c r="B11" i="52" s="1"/>
  <c r="F20" i="5"/>
  <c r="D20" i="5"/>
  <c r="B20" i="5"/>
  <c r="A20" i="5" s="1"/>
  <c r="I17" i="5"/>
  <c r="I16" i="5"/>
  <c r="I15" i="5"/>
  <c r="I14" i="5"/>
  <c r="I13" i="5"/>
  <c r="I12" i="5"/>
  <c r="I11" i="5"/>
  <c r="I10" i="5"/>
  <c r="I9" i="5"/>
  <c r="I8" i="5"/>
  <c r="I7" i="5"/>
  <c r="F3" i="5"/>
  <c r="E12" i="52" s="1"/>
  <c r="F12" i="52" s="1"/>
  <c r="H20" i="4"/>
  <c r="G20" i="4" s="1"/>
  <c r="B9" i="52" s="1"/>
  <c r="F20" i="4"/>
  <c r="D20" i="4"/>
  <c r="B20" i="4"/>
  <c r="A20" i="4" s="1"/>
  <c r="I17" i="4"/>
  <c r="I16" i="4"/>
  <c r="I15" i="4"/>
  <c r="I14" i="4"/>
  <c r="I13" i="4"/>
  <c r="I12" i="4"/>
  <c r="I11" i="4"/>
  <c r="I10" i="4"/>
  <c r="I9" i="4"/>
  <c r="I8" i="4"/>
  <c r="I7" i="4"/>
  <c r="F3" i="4"/>
  <c r="E10" i="52" s="1"/>
  <c r="H20" i="3"/>
  <c r="G20" i="3" s="1"/>
  <c r="B7" i="52" s="1"/>
  <c r="F20" i="3"/>
  <c r="D20" i="3"/>
  <c r="B20" i="3"/>
  <c r="A20" i="3" s="1"/>
  <c r="I17" i="3"/>
  <c r="I16" i="3"/>
  <c r="I15" i="3"/>
  <c r="I14" i="3"/>
  <c r="I13" i="3"/>
  <c r="I12" i="3"/>
  <c r="F3" i="3"/>
  <c r="E8" i="52" s="1"/>
  <c r="H20" i="2"/>
  <c r="G20" i="2" s="1"/>
  <c r="B5" i="52" s="1"/>
  <c r="F20" i="2"/>
  <c r="D20" i="2"/>
  <c r="B20" i="2"/>
  <c r="A20" i="2" s="1"/>
  <c r="I17" i="2"/>
  <c r="I16" i="2"/>
  <c r="I15" i="2"/>
  <c r="I14" i="2"/>
  <c r="I13" i="2"/>
  <c r="I12" i="2"/>
  <c r="I11" i="2"/>
  <c r="I10" i="2"/>
  <c r="I9" i="2"/>
  <c r="I8" i="2"/>
  <c r="I7" i="2"/>
  <c r="F3" i="2"/>
  <c r="E6" i="52" s="1"/>
  <c r="H20" i="1"/>
  <c r="G20" i="1" s="1"/>
  <c r="B3" i="52" s="1"/>
  <c r="F20" i="1"/>
  <c r="D20" i="1"/>
  <c r="B20" i="1"/>
  <c r="A20" i="1" s="1"/>
  <c r="I17" i="1"/>
  <c r="I16" i="1"/>
  <c r="I15" i="1"/>
  <c r="I14" i="1"/>
  <c r="I13" i="1"/>
  <c r="I12" i="1"/>
  <c r="I11" i="1"/>
  <c r="I10" i="1"/>
  <c r="I9" i="1"/>
  <c r="I8" i="1"/>
  <c r="I7" i="1"/>
  <c r="F3" i="1"/>
  <c r="E4" i="52" s="1"/>
  <c r="F18" i="52" l="1"/>
  <c r="F46" i="52"/>
  <c r="C20" i="27"/>
  <c r="I8" i="27" s="1"/>
  <c r="C20" i="28"/>
  <c r="I7" i="28" s="1"/>
  <c r="F44" i="52"/>
  <c r="I6" i="28"/>
  <c r="I8" i="28"/>
  <c r="I9" i="26"/>
  <c r="C20" i="5"/>
  <c r="C20" i="4"/>
  <c r="F54" i="52"/>
  <c r="I5" i="27"/>
  <c r="I8" i="26"/>
  <c r="C20" i="13"/>
  <c r="A20" i="15"/>
  <c r="C20" i="19"/>
  <c r="C20" i="11"/>
  <c r="C20" i="21"/>
  <c r="I8" i="21" s="1"/>
  <c r="C20" i="12"/>
  <c r="A20" i="20"/>
  <c r="C20" i="23"/>
  <c r="I10" i="23" s="1"/>
  <c r="C20" i="6"/>
  <c r="C20" i="3"/>
  <c r="I11" i="3" s="1"/>
  <c r="C20" i="8"/>
  <c r="I6" i="8" s="1"/>
  <c r="C20" i="1"/>
  <c r="C20" i="25"/>
  <c r="I5" i="25" s="1"/>
  <c r="A20" i="7"/>
  <c r="C20" i="7" s="1"/>
  <c r="I12" i="7" s="1"/>
  <c r="C20" i="2"/>
  <c r="I4" i="2" s="1"/>
  <c r="F38" i="52"/>
  <c r="A20" i="9"/>
  <c r="C20" i="9" s="1"/>
  <c r="I8" i="9" s="1"/>
  <c r="A20" i="10"/>
  <c r="C20" i="10" s="1"/>
  <c r="A20" i="16"/>
  <c r="C20" i="16" s="1"/>
  <c r="I7" i="16" s="1"/>
  <c r="A20" i="17"/>
  <c r="C20" i="17" s="1"/>
  <c r="A20" i="14"/>
  <c r="C20" i="14" s="1"/>
  <c r="I9" i="14" s="1"/>
  <c r="A20" i="18"/>
  <c r="C20" i="18" s="1"/>
  <c r="I14" i="18" s="1"/>
  <c r="A20" i="22"/>
  <c r="C20" i="22" s="1"/>
  <c r="F4" i="52"/>
  <c r="F10" i="52"/>
  <c r="F34" i="52"/>
  <c r="F8" i="52"/>
  <c r="F14" i="52"/>
  <c r="F30" i="52"/>
  <c r="F52" i="52"/>
  <c r="F6" i="52"/>
  <c r="F16" i="52"/>
  <c r="F22" i="52"/>
  <c r="F26" i="52"/>
  <c r="F42" i="52"/>
  <c r="I5" i="4"/>
  <c r="I6" i="4"/>
  <c r="I4" i="4"/>
  <c r="E20" i="4" s="1"/>
  <c r="I3" i="4"/>
  <c r="I7" i="30"/>
  <c r="I6" i="30"/>
  <c r="E20" i="30" s="1"/>
  <c r="I5" i="30"/>
  <c r="I10" i="30"/>
  <c r="I4" i="30"/>
  <c r="I9" i="30"/>
  <c r="I3" i="30"/>
  <c r="I8" i="30"/>
  <c r="I7" i="24"/>
  <c r="I6" i="24"/>
  <c r="I11" i="24"/>
  <c r="I5" i="24"/>
  <c r="I10" i="24"/>
  <c r="I4" i="24"/>
  <c r="I9" i="24"/>
  <c r="I3" i="24"/>
  <c r="I8" i="24"/>
  <c r="E3" i="28"/>
  <c r="E37" i="51" s="1"/>
  <c r="F37" i="51" s="1"/>
  <c r="I5" i="28"/>
  <c r="I4" i="28"/>
  <c r="I3" i="28"/>
  <c r="H22" i="28"/>
  <c r="H23" i="28" s="1"/>
  <c r="E20" i="21"/>
  <c r="E3" i="21" s="1"/>
  <c r="E30" i="51" s="1"/>
  <c r="F30" i="51" s="1"/>
  <c r="I4" i="21"/>
  <c r="I3" i="21"/>
  <c r="H22" i="21"/>
  <c r="H23" i="21" s="1"/>
  <c r="I7" i="21"/>
  <c r="I6" i="21"/>
  <c r="I5" i="21"/>
  <c r="I6" i="26"/>
  <c r="I5" i="26"/>
  <c r="I4" i="26"/>
  <c r="I3" i="26"/>
  <c r="I4" i="27"/>
  <c r="I3" i="27"/>
  <c r="I5" i="8"/>
  <c r="I4" i="8"/>
  <c r="I3" i="8"/>
  <c r="I4" i="25"/>
  <c r="I3" i="25"/>
  <c r="E20" i="25" s="1"/>
  <c r="I7" i="25"/>
  <c r="I7" i="32"/>
  <c r="I6" i="32"/>
  <c r="I11" i="32"/>
  <c r="I5" i="32"/>
  <c r="I10" i="32"/>
  <c r="I4" i="32"/>
  <c r="I9" i="32"/>
  <c r="I3" i="32"/>
  <c r="I8" i="32"/>
  <c r="I4" i="29"/>
  <c r="I3" i="29"/>
  <c r="E20" i="29" s="1"/>
  <c r="I6" i="29"/>
  <c r="I5" i="29"/>
  <c r="I10" i="31"/>
  <c r="I4" i="31"/>
  <c r="I9" i="31"/>
  <c r="I3" i="31"/>
  <c r="I8" i="31"/>
  <c r="I7" i="31"/>
  <c r="I6" i="31"/>
  <c r="E20" i="31" s="1"/>
  <c r="I5" i="31"/>
  <c r="A20" i="41"/>
  <c r="E20" i="41"/>
  <c r="C20" i="41"/>
  <c r="A20" i="43"/>
  <c r="E20" i="43"/>
  <c r="C20" i="43"/>
  <c r="A20" i="45"/>
  <c r="E20" i="45"/>
  <c r="C20" i="45"/>
  <c r="I9" i="10"/>
  <c r="I6" i="13"/>
  <c r="I6" i="19"/>
  <c r="I6" i="33"/>
  <c r="H22" i="50"/>
  <c r="H23" i="50" s="1"/>
  <c r="E3" i="50"/>
  <c r="E20" i="8"/>
  <c r="H22" i="8" s="1"/>
  <c r="H23" i="8" s="1"/>
  <c r="I10" i="10"/>
  <c r="I7" i="11"/>
  <c r="I7" i="19"/>
  <c r="E20" i="28"/>
  <c r="E20" i="32"/>
  <c r="E3" i="32" s="1"/>
  <c r="H22" i="40"/>
  <c r="H23" i="40" s="1"/>
  <c r="E3" i="40"/>
  <c r="H22" i="42"/>
  <c r="H23" i="42" s="1"/>
  <c r="E3" i="42"/>
  <c r="H22" i="44"/>
  <c r="H23" i="44" s="1"/>
  <c r="E3" i="44"/>
  <c r="H22" i="46"/>
  <c r="H23" i="46" s="1"/>
  <c r="E3" i="46"/>
  <c r="H22" i="48"/>
  <c r="H23" i="48" s="1"/>
  <c r="E3" i="48"/>
  <c r="I3" i="1"/>
  <c r="E20" i="1" s="1"/>
  <c r="I3" i="5"/>
  <c r="I6" i="12"/>
  <c r="I9" i="17"/>
  <c r="I3" i="19"/>
  <c r="I9" i="19"/>
  <c r="I4" i="1"/>
  <c r="I4" i="5"/>
  <c r="I4" i="19"/>
  <c r="I10" i="19"/>
  <c r="C20" i="47"/>
  <c r="C20" i="49"/>
  <c r="A20" i="40"/>
  <c r="A20" i="42"/>
  <c r="A20" i="44"/>
  <c r="A20" i="46"/>
  <c r="A20" i="48"/>
  <c r="A20" i="50"/>
  <c r="E20" i="47"/>
  <c r="E20" i="49"/>
  <c r="I7" i="27" l="1"/>
  <c r="E20" i="27" s="1"/>
  <c r="I9" i="27"/>
  <c r="I6" i="27"/>
  <c r="E20" i="26"/>
  <c r="E3" i="26" s="1"/>
  <c r="E35" i="51" s="1"/>
  <c r="F35" i="51" s="1"/>
  <c r="I6" i="9"/>
  <c r="I7" i="9"/>
  <c r="I5" i="5"/>
  <c r="E20" i="5" s="1"/>
  <c r="H22" i="5" s="1"/>
  <c r="H23" i="5" s="1"/>
  <c r="I6" i="5"/>
  <c r="E20" i="24"/>
  <c r="E3" i="24" s="1"/>
  <c r="E33" i="51" s="1"/>
  <c r="F33" i="51" s="1"/>
  <c r="I3" i="13"/>
  <c r="E20" i="13" s="1"/>
  <c r="I5" i="13"/>
  <c r="I4" i="13"/>
  <c r="C20" i="15"/>
  <c r="I10" i="15" s="1"/>
  <c r="I7" i="14"/>
  <c r="I8" i="14"/>
  <c r="I5" i="14"/>
  <c r="I6" i="14"/>
  <c r="I3" i="14"/>
  <c r="I4" i="14"/>
  <c r="I5" i="16"/>
  <c r="I4" i="16"/>
  <c r="I6" i="16"/>
  <c r="I3" i="16"/>
  <c r="I12" i="18"/>
  <c r="I13" i="18"/>
  <c r="I10" i="18"/>
  <c r="I11" i="18"/>
  <c r="I8" i="18"/>
  <c r="I9" i="18"/>
  <c r="I5" i="18"/>
  <c r="I7" i="18"/>
  <c r="I6" i="18"/>
  <c r="I3" i="18"/>
  <c r="I4" i="18"/>
  <c r="I5" i="17"/>
  <c r="I8" i="17"/>
  <c r="I7" i="17"/>
  <c r="I6" i="17"/>
  <c r="I4" i="17"/>
  <c r="I3" i="17"/>
  <c r="E20" i="17" s="1"/>
  <c r="I13" i="19"/>
  <c r="I14" i="19"/>
  <c r="I11" i="19"/>
  <c r="I12" i="19"/>
  <c r="I5" i="19"/>
  <c r="I8" i="19"/>
  <c r="I8" i="11"/>
  <c r="I9" i="11"/>
  <c r="I6" i="11"/>
  <c r="I5" i="11"/>
  <c r="I4" i="11"/>
  <c r="I3" i="11"/>
  <c r="E20" i="11" s="1"/>
  <c r="E3" i="11" s="1"/>
  <c r="E20" i="51" s="1"/>
  <c r="F20" i="51" s="1"/>
  <c r="I7" i="12"/>
  <c r="I8" i="12"/>
  <c r="I4" i="12"/>
  <c r="I5" i="12"/>
  <c r="I3" i="12"/>
  <c r="E20" i="12" s="1"/>
  <c r="E3" i="12" s="1"/>
  <c r="E21" i="51" s="1"/>
  <c r="F21" i="51" s="1"/>
  <c r="C20" i="20"/>
  <c r="I10" i="20" s="1"/>
  <c r="I12" i="22"/>
  <c r="I13" i="22"/>
  <c r="I10" i="22"/>
  <c r="I11" i="22"/>
  <c r="I8" i="22"/>
  <c r="I9" i="22"/>
  <c r="I6" i="22"/>
  <c r="I7" i="22"/>
  <c r="I4" i="22"/>
  <c r="I5" i="22"/>
  <c r="I3" i="22"/>
  <c r="I8" i="23"/>
  <c r="I9" i="23"/>
  <c r="I4" i="23"/>
  <c r="I7" i="23"/>
  <c r="I5" i="23"/>
  <c r="I6" i="23"/>
  <c r="I3" i="23"/>
  <c r="I4" i="9"/>
  <c r="I5" i="9"/>
  <c r="I3" i="9"/>
  <c r="I6" i="10"/>
  <c r="I8" i="10"/>
  <c r="I7" i="10"/>
  <c r="I5" i="10"/>
  <c r="I4" i="10"/>
  <c r="I3" i="10"/>
  <c r="I4" i="6"/>
  <c r="I9" i="6"/>
  <c r="I8" i="6"/>
  <c r="I7" i="6"/>
  <c r="I5" i="6"/>
  <c r="I6" i="6"/>
  <c r="I3" i="6"/>
  <c r="I9" i="3"/>
  <c r="I10" i="3"/>
  <c r="I7" i="3"/>
  <c r="I8" i="3"/>
  <c r="I5" i="3"/>
  <c r="I6" i="3"/>
  <c r="I4" i="3"/>
  <c r="I3" i="3"/>
  <c r="E20" i="3" s="1"/>
  <c r="I6" i="25"/>
  <c r="I5" i="1"/>
  <c r="I6" i="1"/>
  <c r="I10" i="7"/>
  <c r="I11" i="7"/>
  <c r="I8" i="7"/>
  <c r="I9" i="7"/>
  <c r="I6" i="7"/>
  <c r="I7" i="7"/>
  <c r="I5" i="7"/>
  <c r="I4" i="7"/>
  <c r="I3" i="7"/>
  <c r="I6" i="2"/>
  <c r="I5" i="2"/>
  <c r="I3" i="2"/>
  <c r="E20" i="2" s="1"/>
  <c r="E3" i="8"/>
  <c r="E17" i="51" s="1"/>
  <c r="F17" i="51" s="1"/>
  <c r="H22" i="17"/>
  <c r="H23" i="17" s="1"/>
  <c r="E3" i="17"/>
  <c r="E26" i="51" s="1"/>
  <c r="F26" i="51" s="1"/>
  <c r="E3" i="29"/>
  <c r="H22" i="29"/>
  <c r="H23" i="29" s="1"/>
  <c r="E3" i="30"/>
  <c r="H22" i="30"/>
  <c r="H23" i="30" s="1"/>
  <c r="H22" i="25"/>
  <c r="H23" i="25" s="1"/>
  <c r="E3" i="25"/>
  <c r="E34" i="51" s="1"/>
  <c r="F34" i="51" s="1"/>
  <c r="H22" i="13"/>
  <c r="H23" i="13" s="1"/>
  <c r="E3" i="13"/>
  <c r="E22" i="51" s="1"/>
  <c r="F22" i="51" s="1"/>
  <c r="E3" i="1"/>
  <c r="E10" i="51" s="1"/>
  <c r="F10" i="51" s="1"/>
  <c r="H22" i="1"/>
  <c r="H23" i="1" s="1"/>
  <c r="E3" i="31"/>
  <c r="H22" i="31"/>
  <c r="H23" i="31" s="1"/>
  <c r="E3" i="4"/>
  <c r="E13" i="51" s="1"/>
  <c r="F13" i="51" s="1"/>
  <c r="H22" i="4"/>
  <c r="H23" i="4" s="1"/>
  <c r="H22" i="2"/>
  <c r="H23" i="2" s="1"/>
  <c r="E3" i="2"/>
  <c r="E11" i="51" s="1"/>
  <c r="F11" i="51" s="1"/>
  <c r="H22" i="49"/>
  <c r="H23" i="49" s="1"/>
  <c r="E3" i="49"/>
  <c r="H22" i="32"/>
  <c r="H23" i="32" s="1"/>
  <c r="H22" i="47"/>
  <c r="H23" i="47" s="1"/>
  <c r="E3" i="47"/>
  <c r="H22" i="43"/>
  <c r="H23" i="43" s="1"/>
  <c r="E3" i="43"/>
  <c r="H22" i="45"/>
  <c r="H23" i="45" s="1"/>
  <c r="E3" i="45"/>
  <c r="H22" i="41"/>
  <c r="H23" i="41" s="1"/>
  <c r="E3" i="41"/>
  <c r="E3" i="27" l="1"/>
  <c r="E36" i="51" s="1"/>
  <c r="F36" i="51" s="1"/>
  <c r="H22" i="27"/>
  <c r="H23" i="27" s="1"/>
  <c r="H22" i="26"/>
  <c r="H23" i="26" s="1"/>
  <c r="E3" i="5"/>
  <c r="E14" i="51" s="1"/>
  <c r="F14" i="51" s="1"/>
  <c r="H22" i="24"/>
  <c r="H23" i="24" s="1"/>
  <c r="I8" i="15"/>
  <c r="I9" i="15"/>
  <c r="I6" i="15"/>
  <c r="I7" i="15"/>
  <c r="I4" i="15"/>
  <c r="I5" i="15"/>
  <c r="I3" i="15"/>
  <c r="E20" i="15" s="1"/>
  <c r="E3" i="15" s="1"/>
  <c r="E24" i="51" s="1"/>
  <c r="F24" i="51" s="1"/>
  <c r="E20" i="14"/>
  <c r="H22" i="14" s="1"/>
  <c r="H23" i="14" s="1"/>
  <c r="E20" i="16"/>
  <c r="E20" i="18"/>
  <c r="E20" i="19"/>
  <c r="H22" i="19" s="1"/>
  <c r="H23" i="19" s="1"/>
  <c r="H22" i="11"/>
  <c r="H23" i="11" s="1"/>
  <c r="H22" i="12"/>
  <c r="H23" i="12" s="1"/>
  <c r="I8" i="20"/>
  <c r="I9" i="20"/>
  <c r="I6" i="20"/>
  <c r="I7" i="20"/>
  <c r="I4" i="20"/>
  <c r="I5" i="20"/>
  <c r="I3" i="20"/>
  <c r="E20" i="22"/>
  <c r="E20" i="23"/>
  <c r="H22" i="23" s="1"/>
  <c r="H23" i="23" s="1"/>
  <c r="E20" i="9"/>
  <c r="H22" i="9" s="1"/>
  <c r="H23" i="9" s="1"/>
  <c r="E20" i="10"/>
  <c r="E20" i="6"/>
  <c r="H22" i="6"/>
  <c r="H23" i="6" s="1"/>
  <c r="E3" i="6"/>
  <c r="E15" i="51" s="1"/>
  <c r="F15" i="51" s="1"/>
  <c r="H22" i="3"/>
  <c r="H23" i="3" s="1"/>
  <c r="E3" i="3"/>
  <c r="E12" i="51" s="1"/>
  <c r="F12" i="51" s="1"/>
  <c r="E20" i="7"/>
  <c r="E3" i="7" s="1"/>
  <c r="E16" i="51" s="1"/>
  <c r="F16" i="51" s="1"/>
  <c r="H22" i="15" l="1"/>
  <c r="H23" i="15" s="1"/>
  <c r="E3" i="14"/>
  <c r="E23" i="51" s="1"/>
  <c r="F23" i="51" s="1"/>
  <c r="E3" i="16"/>
  <c r="E25" i="51" s="1"/>
  <c r="F25" i="51" s="1"/>
  <c r="H22" i="16"/>
  <c r="H23" i="16" s="1"/>
  <c r="E3" i="18"/>
  <c r="E27" i="51" s="1"/>
  <c r="F27" i="51" s="1"/>
  <c r="H22" i="18"/>
  <c r="H23" i="18" s="1"/>
  <c r="E3" i="19"/>
  <c r="E28" i="51" s="1"/>
  <c r="F28" i="51" s="1"/>
  <c r="E20" i="20"/>
  <c r="E3" i="22"/>
  <c r="E31" i="51" s="1"/>
  <c r="F31" i="51" s="1"/>
  <c r="H22" i="22"/>
  <c r="H23" i="22" s="1"/>
  <c r="E3" i="23"/>
  <c r="E32" i="51" s="1"/>
  <c r="F32" i="51" s="1"/>
  <c r="E3" i="9"/>
  <c r="E18" i="51" s="1"/>
  <c r="F18" i="51" s="1"/>
  <c r="E3" i="10"/>
  <c r="E19" i="51" s="1"/>
  <c r="F19" i="51" s="1"/>
  <c r="H22" i="10"/>
  <c r="H23" i="10" s="1"/>
  <c r="H22" i="7"/>
  <c r="H23" i="7" s="1"/>
  <c r="H22" i="20" l="1"/>
  <c r="H23" i="20" s="1"/>
  <c r="E3" i="20"/>
  <c r="E29" i="51" s="1"/>
  <c r="F29" i="51" s="1"/>
</calcChain>
</file>

<file path=xl/sharedStrings.xml><?xml version="1.0" encoding="utf-8"?>
<sst xmlns="http://schemas.openxmlformats.org/spreadsheetml/2006/main" count="1484" uniqueCount="259">
  <si>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</si>
  <si>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</si>
  <si>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</si>
  <si>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</si>
  <si>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</si>
  <si>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</si>
  <si>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</si>
  <si>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</si>
  <si>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</si>
  <si>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</si>
  <si>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unidade</t>
  </si>
  <si>
    <t>AMERICANAS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</si>
  <si>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</si>
  <si>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</si>
  <si>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</si>
  <si>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</si>
  <si>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</si>
  <si>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</si>
  <si>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</si>
  <si>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</si>
  <si>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</si>
  <si>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</si>
  <si>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</si>
  <si>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</si>
  <si>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</si>
  <si>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</si>
  <si>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</si>
  <si>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</si>
  <si>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</si>
  <si>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>MAGAZINE LUIZA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</si>
  <si>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</si>
  <si>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</si>
  <si>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</si>
  <si>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</si>
  <si>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</si>
  <si>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</si>
  <si>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</si>
  <si>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</si>
  <si>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</si>
  <si>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</si>
  <si>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</si>
  <si>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</si>
  <si>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</si>
  <si>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</si>
  <si>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</si>
  <si>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</si>
  <si>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</si>
  <si>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</si>
  <si>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</si>
  <si>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</si>
  <si>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</si>
  <si>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AUGUSTU S INFORMATICA EIRELI</t>
  </si>
  <si>
    <t>ITEM 24</t>
  </si>
  <si>
    <t>ITEM 25</t>
  </si>
  <si>
    <t>ITEM 26</t>
  </si>
  <si>
    <t>ITEM 27</t>
  </si>
  <si>
    <t>ITEM 28</t>
  </si>
  <si>
    <t>ITEM 29</t>
  </si>
  <si>
    <t>ITEM 30</t>
  </si>
  <si>
    <t>PILHA ALCALINA PEQUENA Tipo AA  Embalagem com 02 unidades. Tensão: 1,5 V . Adequada à Resolução nº 401/2008 – CONAMA. Indicação expressa do nome do fabricante. Indicação de prazo de validade não inferior a um ano contado da data de recebimento definitivo.</t>
  </si>
  <si>
    <t>embalagem</t>
  </si>
  <si>
    <t>W. A DOS SANTOS RIVEIRA COMERCIO E SERVICOS</t>
  </si>
  <si>
    <t>ESTRADA DISTRIBUIDORA E COMERCIO EIRELI</t>
  </si>
  <si>
    <t>COMERCIAL T&amp;T EIRELI</t>
  </si>
  <si>
    <t>ROSENEIDE DA SILVA 31624995691</t>
  </si>
  <si>
    <t>BRUNO EDUARDO M. DE OLIVEIRA</t>
  </si>
  <si>
    <t>INFOTRIZ COMERCIAL EIRELI</t>
  </si>
  <si>
    <t>LEDI FERREIRA 33458260706</t>
  </si>
  <si>
    <t>ITEM 31</t>
  </si>
  <si>
    <t>PILHA ALCALINA PALITO Tipo AAA Embalagem com 04 unidades. Adequada à Resolução nº 401/2008 – CONAMA. Indicação expressa do nome do fabricante. Indicação de prazo de validade não inferior a um ano, contado da data de recebimento definitivo.</t>
  </si>
  <si>
    <t>ONLINE COMERCIO IMPORTACAO E EXPORTACAO EIRELI</t>
  </si>
  <si>
    <t>MARY DUDA COMERCIO DE MATERIAL PARA CONSTRUCAO E SERVICOS DE DECORACAO EIRELI</t>
  </si>
  <si>
    <t>MARIA DAS VITORIAS ANA DOS SANTOS 05348998460</t>
  </si>
  <si>
    <t>GRAFICA E EDITORA LUAR EIRELI</t>
  </si>
  <si>
    <t>JR PORTELLA COMERCIO DE ACESSORIOS E SERVICOS AUTOMOTIVOS EIRELI</t>
  </si>
  <si>
    <t>MARIA CONSUELO SOARES DA MATA</t>
  </si>
  <si>
    <t>ITEM 32</t>
  </si>
  <si>
    <t>PILHA 9V Alcalina; Tensão: 9 V Cartela com 01 unidade Adequada à Resolução nº 401/2008 - CONAMA Indicação expressa do nome do fabricante; Indicação de prazo de validade não inferior a um ano contado da data de recebimento definitivo.</t>
  </si>
  <si>
    <t>SUPRY OFFICE DISTRIBUIDORA DE MATERIAIS E SERVICOS LTDA</t>
  </si>
  <si>
    <t>DJ.MATERIAL DE CONSTRUCAO LTDA</t>
  </si>
  <si>
    <t>INTERBRINQ COMERCIAL EIRELI</t>
  </si>
  <si>
    <t>LIMARI MATERIAIS DE CONSTRUCOES EIRELI</t>
  </si>
  <si>
    <t>TECHSHORE COMERCIO E SERVICOS EIRELI</t>
  </si>
  <si>
    <t>H L P COMERCIO ELETRO FONIA EIRELI</t>
  </si>
  <si>
    <t>ITEM 33</t>
  </si>
  <si>
    <t xml:space="preserve">FITA PARA GRAVAÇÃO DE DADOS Tipo LTO Ultrium 6,  Capacidade 2,5 Aplicação armazenagem de dados. </t>
  </si>
  <si>
    <t>BRAZIL IT SOLUCOES EM INFORMATICA LTDA</t>
  </si>
  <si>
    <t>LUANDA COMERCIO DE SUPRIMENTOS PARA INFORMATICA LTDA</t>
  </si>
  <si>
    <t>GOLDEN STORAGE</t>
  </si>
  <si>
    <t>LTO ULTRIUM</t>
  </si>
  <si>
    <t>ITEM 40</t>
  </si>
  <si>
    <t>ITEM 41</t>
  </si>
  <si>
    <t>ITEM 42</t>
  </si>
  <si>
    <t>ITEM 43</t>
  </si>
  <si>
    <t>ITEM 44</t>
  </si>
  <si>
    <t>ITEM 45</t>
  </si>
  <si>
    <t>ITEM 46</t>
  </si>
  <si>
    <t>ITEM 47</t>
  </si>
  <si>
    <t>ITEM 48</t>
  </si>
  <si>
    <t>ITEM 49</t>
  </si>
  <si>
    <t>ITEM 50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</si>
  <si>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</si>
  <si>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</si>
  <si>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</si>
  <si>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</si>
  <si>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</si>
  <si>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</si>
  <si>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</si>
  <si>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</si>
  <si>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</si>
  <si>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</si>
  <si>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</si>
  <si>
    <t>Caneta esferográfica
Cor azul
Em material plástico,
Ponta em aço inoxidável ou latão, com esfera de tungstênio,
Corpo transparente
Selo de adequação à norma ABNT NBR 15236/2012 – Versão Corrigida 2013.
Acondicionada em caixa com 50 unidades;
Prazo de validade impresso na embalagem, não inferior a 18 meses contados da data do recebimento definitivo.
Marca de Referência: Bic, Compactor, Faber Castell, Pilot, ou similar*</t>
  </si>
  <si>
    <t>caixa</t>
  </si>
  <si>
    <t>Caneta esferográfica
Cor vermelha
Em material plástico,
Ponta em aço inoxidável ou latão, com esfera de tungstênio,
Corpo transparente
Selo de adequação à norma ABNT NBR 15236/2012 – Versão Corrigida 2013.
Acondicionada em caixa com 50 unidades;
Prazo de validade impresso na embalagem, não inferior a 18 meses contados da data do recebimento definitivo.
Marca de Referência: Bic, Compactor, Faber Castell, Pilot, ou similar*</t>
  </si>
  <si>
    <t>Caneta esferográfica
Cor preta.
Em material plástico,
Ponta em aço inoxidável ou latão, com esfera de tungstênio,
Corpo transparente
Selo de adequação à norma ABNT NBR 15236/2012 – Versão Corrigida 2013.
Acondicionada em caixa com 50 unidades;
Prazo de validade impresso na embalagem, não inferior a 18 meses contados da data do recebimento definitivo.
Marca de Referência: Bic, Compactor, Faber Castell, Pilot, ou similar*</t>
  </si>
  <si>
    <t>Etiqueta auto adesiva
Folha em formato A4;
Gramatura 75 g/m2
Papel couchê removível;
Cor branca,
Folha contendo 1 etiqueta
Acondicionadas em pacotes com 25 folhas</t>
  </si>
  <si>
    <t>pacote</t>
  </si>
  <si>
    <t>Etiqueta auto adesiva
Folha em formato carta;
Gramatura 75 g/m2
Cor branca fosca,
06 (seis) etiquetas de tamanho 84,7 x 101,6mm por folha
Acondicionadas em pacotes com 25 folhas, embaladas em plástico transparente. Pacotes acondicionados em caixas.</t>
  </si>
  <si>
    <t>Etiqueta auto adesiva
Folha em formato Carta;
Gramatura 75 g/m2
Papel couchê removível;
Cor branca,
30 etiquetas de tamanho 25,4 x 66,7mm, por folha.
Admitida variação de  + ou - 0,4 mm por etiqueta.
Acondicionadas em pacotes com 100  folhas, embaladas em plástico transparente. Pacotes acondicionados em caixas.</t>
  </si>
  <si>
    <t>Caneta marca-texto,
Corpo em material plástico,
Ponta em poliéster
Fluorescente, Cor amarela,
Traço de 5 mm, podendo variar para +/- 1mm
Acondicionado em caixas com 12 unidades.</t>
  </si>
  <si>
    <t>Marcador Permanente
Ponta chanfrada em fibra, Cor azul.
Acondicionados em caixas com 12 unidades.</t>
  </si>
  <si>
    <t>Tinta para carimbo
cor azul, em frasco com no mínimo 40ml.
Acondicionadas em caixas com 12 unidades</t>
  </si>
  <si>
    <t>Almofada para carimbo
Dimensões mínimas: 5,0 x 9,0cm
Material plástico e esponja absorvente revestida em tecido
Tipo entintada, Cor Azul</t>
  </si>
  <si>
    <t>Grampeador para grampo 26/6,
Comprimento mínimo: 16 cm,
Em metal pintado
Capacidade para grampear simultaneamente, no mínimo, 20 folhas de 75g/m2 cada.
Acondicionados em caixa individual</t>
  </si>
  <si>
    <t>Adesivo instantâneo
À base de cianoacrilato,
Tubo com 5g.
Validade mínima de 11 meses a contar da data de recebimento definitivo.
Acondicionados em embalagem individual</t>
  </si>
  <si>
    <t>Cola branca,
À base de PVA
Tipo escolar;
Bisnaga com 40g
Validade mínima de 18 meses contados da data de recebimento definitivo.
Acondicionadas em caixas com até 50 unidades.</t>
  </si>
  <si>
    <t>Estilete
Invólucro em plástico resistente
Lâmina retrátil em aço,
Comprimento mínimo: 18 cm
Com sistema de travamento
Encaixe por pressão
Embalados individualmente,
Acondicionados em embalagem com até 50 un.</t>
  </si>
  <si>
    <t>Clips nº 1
Em aço inox;
Tratamento superficial: niquelado,
Caixa com 100 unidades
Embaladas em embalagem de papelão com até 100 un.</t>
  </si>
  <si>
    <t>Clips nº 6
Em aço inox;
Tratamento superficial: niquelado,
Caixa com 50 unidades
Embaladas em embalagem de papelão com até 100 un.</t>
  </si>
  <si>
    <t>Papel alcalino no formato A4 (210x297mm),
Cor branca,
Gramatura: 75g/m2,
Para impressora a laser</t>
  </si>
  <si>
    <t>resma</t>
  </si>
  <si>
    <t>Papel alcalino no formato A3 (297 x 420mm),
Cor branca, alta alvura
Gramatura: 75g/m²</t>
  </si>
  <si>
    <t>Pasta suspensa marmorizada
Cartão duplo,
Com etiqueta e plástico para a identificação, e prendedores plásticos.
Acondicionada em embalagens com até 50 unidades</t>
  </si>
  <si>
    <t>Refil para numerador automático de 6 dígitos
Acondicionados em embalagem com até 5 unidades
prazo de validade não inferior a 6 meses, contados da data do recebimento definitivo</t>
  </si>
  <si>
    <t>Porta-crachás
Em PVC Cristal
Modelo Vertical
Tamanho: 80 X 120
Espessura: 0,13mm
Com cordão
Acondicionados em embalagem com 100 unidades</t>
  </si>
  <si>
    <t>Envelope pardo 
Papel Kraft natural monolúcido 
Dimensões: 36 x 26 cm (±1 cm)
Face externa em alta lisura
Gramatura não inferior a 75 g/m2
Com brasão da República
Inscrição, em cor preta, conforme anexo B.
Conforme modelo disponível na Seção de Gestão de Almoxarifado do TRE-BA
Acondicionados em caixas de papelão com 250 unidades.</t>
  </si>
  <si>
    <t>Envelope pardo
Papel Kraft natural monolúcido
Dimensões: 41 x 31 cm (±1 cm)
Face externa em alta lisura
Gramatura não inferior a 75 g/m2
Com Brasão da República 
Inscrição, em cor preta, conforme anexo B.
Conforme modelo disponível na Seção de Gestão de Almoxarifado do TRE-BA
Acondicionados em caixas de papelão com 250 unidades</t>
  </si>
  <si>
    <t>Envelope pardo 
Papel Kraft natural monolúcido
Dimensões: 28 x 20 cm (±1 cm)
Face externa em alta lisura
Gramatura não inferior a 75 g/m2
Com brasão da República
Inscrição, em cor preta, conforme anexo B.
Conforme modelo disponível na Seção de Gestão de Almoxarifado do TRE-BA
Acondicionados em caixas de papelão com 250 unidades.</t>
  </si>
  <si>
    <t>A. NETO DOS SANTOS</t>
  </si>
  <si>
    <t>PAPELARIA BRASIL LTDA</t>
  </si>
  <si>
    <t>RC RAMOS COMERCIO LTDA</t>
  </si>
  <si>
    <t>GREEN &amp; WHITE DISTRIBUICAO DE ALIMENTOS LTDA</t>
  </si>
  <si>
    <t>TAMIRES SOUZA SILVA 43321495805</t>
  </si>
  <si>
    <t>W.M.W COMERCIAL E MATERIAIS DE LIMPEZA LTDA</t>
  </si>
  <si>
    <t>MAXIMA ATACADISTA EIRELI</t>
  </si>
  <si>
    <t>GEFERSON JUNIOR WOGNEI</t>
  </si>
  <si>
    <t>MP3 DISTRIBUIÇÃO E IMPORTAÇÃO DE UTILIDADES E MATERIAL ESCOLAR - EIRELI</t>
  </si>
  <si>
    <t>DISTRIBUIDORA DE PRODUTOS AGRESTE MERIDIONAL LTDA</t>
  </si>
  <si>
    <t>STYLLUS DISTRIBUIDORA COMERCIO E SERVICOS LTDA</t>
  </si>
  <si>
    <t>ANDERSON GABRIEL R. DE SA DA SILVA COMERCIO E SERVICOS</t>
  </si>
  <si>
    <t>PEG PAG COMERCIO DE ALIMENTOS EIRELI</t>
  </si>
  <si>
    <t>W3F VANZELER COMERCIO &amp; SERVICOS - EIRELI</t>
  </si>
  <si>
    <t>VTA MACHADO DE ARRUDA E CIA LTDA</t>
  </si>
  <si>
    <t>MIX PAPELARIA EIRELI</t>
  </si>
  <si>
    <t>PAPEL E CIA PRODUTOS DE PAPELARIAS EIRELI</t>
  </si>
  <si>
    <t>DAGEAL - COMERCIO DE MATERIAL DE ESCRITORIO LTDA</t>
  </si>
  <si>
    <t>REGINA CELIA CUNHA DE SOUSA 00641565755</t>
  </si>
  <si>
    <t>QUEIROZ PAPEIS LTDA</t>
  </si>
  <si>
    <t>J.P.CAVEDON SOARES</t>
  </si>
  <si>
    <t>ELIEL COTRIM PASSOS</t>
  </si>
  <si>
    <t>JVG PROJETOS E CONSTRUCOES EIRELI</t>
  </si>
  <si>
    <t>CENTRAL DE VENDAS DO NORDESTE EIRELI</t>
  </si>
  <si>
    <t>A D S QUEIROZ</t>
  </si>
  <si>
    <t>MARTINS &amp; BOURGNON LTDA</t>
  </si>
  <si>
    <t>MULTCOM COMERCIO VAREJISTA DE SUPRIMENTOS LTDA</t>
  </si>
  <si>
    <t>CAMEPEL COMERCIO DE PAPEIS EIRELI</t>
  </si>
  <si>
    <t>SALENAS CONFECCAO E MATERIAIS PARA ESCRITORIOS EIRELI</t>
  </si>
  <si>
    <t>W.M.W COMERCIAL E MATERIAIS DE LIMPEZA LTDA.</t>
  </si>
  <si>
    <t>VIPE COMERCIAL EIRELI</t>
  </si>
  <si>
    <t>MAXIM QUALITTA COMERCIO LTDA</t>
  </si>
  <si>
    <t>E.M.B. COMERCIO E DISTRIBUICAO DE MATERIAIS ESCOLARES LTDA</t>
  </si>
  <si>
    <t>ANDREY ARAUJO LICITACOES EIRELI</t>
  </si>
  <si>
    <t>LIVRARIA E PAPELARIA PRATICA LTDA</t>
  </si>
  <si>
    <t>MENNO INFORMATICA E GRAFICA LTDA</t>
  </si>
  <si>
    <t>RAFA PAPER DISTRIBUIDORA EIRELI</t>
  </si>
  <si>
    <t>APOGEU COMERCIO E SERVICOS LTDA</t>
  </si>
  <si>
    <t>MAX ELETRO E MAGAZINE LTDA</t>
  </si>
  <si>
    <t>MERCADAO DAS EMBALAGENS SOLUCOES E SERVICOS LTDA</t>
  </si>
  <si>
    <t>M A MACIEL DE CASTRO EIRELI</t>
  </si>
  <si>
    <t>R DOS SANTOS NOGUEIRA</t>
  </si>
  <si>
    <t>F F DE ALENCAR EIRELI</t>
  </si>
  <si>
    <t>CRONOS SERVICOS E CONSTRUCOES LTDA</t>
  </si>
  <si>
    <t>GRAFICA E EDITORA JEP LTDA</t>
  </si>
  <si>
    <t>AGNES COMERCIAL LTDA</t>
  </si>
  <si>
    <t>MIXALL COMERCIAL LTDA</t>
  </si>
  <si>
    <t>ATOMOS COMERCIAL LTDA</t>
  </si>
  <si>
    <t>BOING COMERCIO ATACADISTA DE MATERIAIS LTDA</t>
  </si>
  <si>
    <t>ALIANCA COMERCIO E DISTRIBUICAO LTDA</t>
  </si>
  <si>
    <t>BUD CRUZ EIRELI</t>
  </si>
  <si>
    <t>G S MEDEIROS COMERCIO E SERVICOS LTDA</t>
  </si>
  <si>
    <t>BRUNO SANTONI BECKER PAPEIS</t>
  </si>
  <si>
    <t>EXCLUSIVA COMERCIO E SERVICOS, PAPELARIA E INFORMATICA LTDA</t>
  </si>
  <si>
    <t>EDITORA E GRAFICA 2020 LTDA</t>
  </si>
  <si>
    <t>FRANCINALDO PEREIRA DE ARAUJO 01116162393</t>
  </si>
  <si>
    <t>ANTONIO CARLOS DIAS DA CONCEICAO</t>
  </si>
  <si>
    <t>M M ALVARENGA COMERCIO E SERVICOS LTDA</t>
  </si>
  <si>
    <t>JH SERVICE NORTE EIRELI</t>
  </si>
  <si>
    <t>DISTRIBUIDORA MSI EIRELI</t>
  </si>
  <si>
    <t>DOMINGOS SAVIO QUEIROZ PORTO</t>
  </si>
  <si>
    <t>MALU MINIMERCADO EIRELI</t>
  </si>
  <si>
    <t>P C DIAS EIRELI</t>
  </si>
  <si>
    <t>GGV COMERCIAL EIRELI</t>
  </si>
  <si>
    <t>ALMIX COMERCIO DE SUPRIMENTOS EIRELI</t>
  </si>
  <si>
    <t>MGSERV GESTAO AMBIENTAL EM TECNOLOGIAS SUSTENTAVEIS LTDA</t>
  </si>
  <si>
    <t>GRITZ COMERCIO DE BRINDES E EMBALAGENS - EIRELI</t>
  </si>
  <si>
    <t>SMT INDUSTRIA E COMERCIO DE MATERIAL PLASTICO E PUBLICITARIO PARA ESCRITORIOS LT</t>
  </si>
  <si>
    <t>PRISMA PAPELARIALTDA</t>
  </si>
  <si>
    <t>R DA S AGUIAR COMERCIO DE MATERIAL DE LIMPEZA EIRELI</t>
  </si>
  <si>
    <t>MATEUS SOARES RODRIGUES SILVA</t>
  </si>
  <si>
    <t>VL PAPELARIA LIVRARIA E INFORMATICA LTDA</t>
  </si>
  <si>
    <t>TAVI - PAPELARIA, MATERIAIS DE ESCRITORIO E INFORMATICA EIRELI</t>
  </si>
  <si>
    <t>CENTURION COMERCIO E SERVICOS DE INFORMATICA EIRELI</t>
  </si>
  <si>
    <t>PARCO COMERCIO E SERVICOS LTDA</t>
  </si>
  <si>
    <t>ALFA PAPELARIA EIRELI</t>
  </si>
  <si>
    <t>LIVRARIA E PAPELARIA GLOBO EIRELI</t>
  </si>
  <si>
    <t>F DE ARAUJO FIGUEREDO EMBALAGENS EIRELI</t>
  </si>
  <si>
    <t>JRP REPRESENTACOES COMERCIO E SERVICOS EIRELI</t>
  </si>
  <si>
    <t>HOLANDA PAPELARIA EIRELI</t>
  </si>
  <si>
    <t>M F DE S NETO COMERCIO E SERVICO</t>
  </si>
  <si>
    <t>BELINKI &amp; SOUZA LTDA</t>
  </si>
  <si>
    <t>GUIMARAES &amp; SOARES LTDA</t>
  </si>
  <si>
    <t>RADIOMED MATERIAIS E SERVICOS LTDA</t>
  </si>
  <si>
    <t>AGIOS COMERCIO E SERVICOS EIRELI</t>
  </si>
  <si>
    <t>GOIASPAPER DISTRIBUIDORA EIRELI</t>
  </si>
  <si>
    <t>HUMAITA COMERCIO DE PAPEIS E ALIMENTOS EIRELI</t>
  </si>
  <si>
    <t>STAR COMERCIO DE SUPRIMENTOS EIRELI</t>
  </si>
  <si>
    <t>GEARA SOLUCOES COMERCIAIS E SERVICOS LTDA</t>
  </si>
  <si>
    <t>CESCOPEL ATACADO DISTRIBUIDOR LTDA</t>
  </si>
  <si>
    <t>DEONIR MARTINI</t>
  </si>
  <si>
    <t>DIPAR DISTRIBUIDORA DE PAPEIS E REVISTAS LTDA</t>
  </si>
  <si>
    <t>MARCOS A ARRUDA DE FIGUEIREDO</t>
  </si>
  <si>
    <t>I F DE MESQUITA AMORIM COMERCIO VAREJISTA DE MERCADORIAS EM LOJAS DE CONVENIENCI</t>
  </si>
  <si>
    <t>LOJA NOTA 10 GENEROS ALIMENTICIOS LTDA</t>
  </si>
  <si>
    <t>POLLYANA MELO DA SILVA LUSTOSA</t>
  </si>
  <si>
    <t>SUPRIMAX COMERCIAL LTDA</t>
  </si>
  <si>
    <t>CID GONCALVES DE FIGUEIREDO</t>
  </si>
  <si>
    <t>EXCLUSIVA SERVICOS E COMERCIO LTDA</t>
  </si>
  <si>
    <t>BML COMERCIAL LTDA</t>
  </si>
  <si>
    <t>MARCOS VINICIUS M DE SOUZA</t>
  </si>
  <si>
    <t>LILIANE ALESSANDRA GOMES DE SOUZA ALVES 08966490670</t>
  </si>
  <si>
    <t>OLMIR LUIS PECCIN</t>
  </si>
  <si>
    <t>CATARINA FERREIRA DE SOUSA</t>
  </si>
  <si>
    <t>EDUCANDO COMERCIO DE ARTIGOS PEDAGOGICOS LTDA</t>
  </si>
  <si>
    <t>CELSO LUIZ MOREIRA DA COSTA</t>
  </si>
  <si>
    <t>MARCIA RAQUEL NONATA DA SILVA 94950717391</t>
  </si>
  <si>
    <t>MARC SOLUCOES EM PRODUTOS E SERVICOS LTDA</t>
  </si>
  <si>
    <t>MAPU DISTRIBUIDORA DE MATERIAIS PARA ESCRITORIO LTDA</t>
  </si>
  <si>
    <t>C L BESERRA &amp; CIA LTDA</t>
  </si>
  <si>
    <t>ZENITE COMERCIO E IMPORTACAO EIRELI</t>
  </si>
  <si>
    <t>AAZ COMERCIAL EIRELI</t>
  </si>
  <si>
    <t>DUCS COMERCIO, SERVICOS E IMPORTACOES EIRELI</t>
  </si>
  <si>
    <t>KALUNGA</t>
  </si>
  <si>
    <t>LE BISCUIT</t>
  </si>
  <si>
    <t>PAPELARIA BLAU</t>
  </si>
  <si>
    <t>CONTABILISTA SUPRIMENTOS</t>
  </si>
  <si>
    <t>PORT</t>
  </si>
  <si>
    <t>EXTRA</t>
  </si>
  <si>
    <t>PAPELARIA QUEIROZ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</si>
</sst>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R$-416]\ #,##0.00;[Red]\-[$R$-416]\ #,##0.00"/>
    <numFmt numFmtId="165" formatCode="d&quot; de &quot;mmmm&quot; de &quot;yyyy"/>
    <numFmt numFmtId="166" formatCode="&quot; R$ &quot;* #,##0.00\ ;&quot;-R$ &quot;* #,##0.00\ ;&quot; R$ &quot;* \-#\ ;@\ "/>
  </numFmts>
  <fonts count="19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b/>
      <sz val="9"/>
      <name val="Arial"/>
      <family val="2"/>
      <charset val="1"/>
    </font>
    <font>
      <sz val="10"/>
      <name val="Arial"/>
      <charset val="1"/>
    </font>
    <font>
      <b/>
      <sz val="13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  <fill>
      <patternFill patternType="solid">
        <fgColor theme="2"/>
        <bgColor rgb="FFDDDDDD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21">
    <xf numFmtId="0" fontId="0" fillId="0" borderId="0"/>
    <xf numFmtId="166" fontId="17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67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 wrapText="1"/>
    </xf>
    <xf numFmtId="165" fontId="11" fillId="0" borderId="0" xfId="0" applyNumberFormat="1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right" vertical="center" wrapText="1"/>
    </xf>
    <xf numFmtId="165" fontId="11" fillId="0" borderId="7" xfId="0" applyNumberFormat="1" applyFont="1" applyBorder="1" applyAlignment="1">
      <alignment horizontal="left" vertical="center" wrapText="1"/>
    </xf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6" fontId="10" fillId="10" borderId="2" xfId="1" applyFont="1" applyFill="1" applyBorder="1" applyAlignment="1" applyProtection="1">
      <alignment vertical="center" wrapText="1"/>
    </xf>
    <xf numFmtId="0" fontId="11" fillId="0" borderId="4" xfId="0" applyFont="1" applyBorder="1" applyAlignment="1">
      <alignment wrapText="1"/>
    </xf>
    <xf numFmtId="166" fontId="11" fillId="9" borderId="2" xfId="0" applyNumberFormat="1" applyFont="1" applyFill="1" applyBorder="1" applyAlignment="1">
      <alignment wrapText="1"/>
    </xf>
    <xf numFmtId="0" fontId="10" fillId="0" borderId="0" xfId="0" applyFont="1" applyAlignment="1">
      <alignment horizontal="center" wrapText="1"/>
    </xf>
    <xf numFmtId="0" fontId="12" fillId="9" borderId="2" xfId="0" applyFont="1" applyFill="1" applyBorder="1" applyAlignment="1">
      <alignment horizontal="center" vertical="center" wrapText="1"/>
    </xf>
    <xf numFmtId="0" fontId="10" fillId="11" borderId="2" xfId="0" applyFont="1" applyFill="1" applyBorder="1" applyAlignment="1">
      <alignment horizontal="center" vertical="center" wrapText="1"/>
    </xf>
    <xf numFmtId="0" fontId="10" fillId="11" borderId="2" xfId="0" applyFont="1" applyFill="1" applyBorder="1" applyAlignment="1">
      <alignment vertical="center" wrapText="1"/>
    </xf>
    <xf numFmtId="166" fontId="10" fillId="11" borderId="2" xfId="1" applyFont="1" applyFill="1" applyBorder="1" applyAlignment="1" applyProtection="1">
      <alignment vertical="center" wrapText="1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6" fillId="0" borderId="0" xfId="0" applyFont="1" applyBorder="1" applyAlignment="1">
      <alignment horizontal="center" vertical="center"/>
    </xf>
    <xf numFmtId="0" fontId="11" fillId="9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center" wrapText="1"/>
    </xf>
    <xf numFmtId="0" fontId="18" fillId="9" borderId="2" xfId="0" applyFont="1" applyFill="1" applyBorder="1" applyAlignment="1">
      <alignment horizontal="left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3057525</xdr:colOff>
      <xdr:row>0</xdr:row>
      <xdr:rowOff>0</xdr:rowOff>
    </xdr:from>
    <xdr:to>
      <xdr:col>2</xdr:col>
      <xdr:colOff>152400</xdr:colOff>
      <xdr:row>6</xdr:row>
      <xdr:rowOff>126301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7125" y="0"/>
          <a:ext cx="2886075" cy="10978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7" sqref="G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112</v>
      </c>
      <c r="C3" s="60" t="s">
        <v>113</v>
      </c>
      <c r="D3" s="61">
        <v>1250</v>
      </c>
      <c r="E3" s="62">
        <f>IF(C20&lt;=25%,D20,MIN(E20:F20))</f>
        <v>28.31</v>
      </c>
      <c r="F3" s="62">
        <f>MIN(H3:H17)</f>
        <v>22</v>
      </c>
      <c r="G3" s="6" t="s">
        <v>154</v>
      </c>
      <c r="H3" s="7">
        <v>22</v>
      </c>
      <c r="I3" s="8" t="str">
        <f t="shared" ref="I3:I17" si="0">IF(H3="","",(IF($C$20&lt;25%,"N/A",IF(H3&lt;=($D$20+$A$20),H3,"Descartado"))))</f>
        <v>N/A</v>
      </c>
    </row>
    <row r="4" spans="1:9">
      <c r="A4" s="58"/>
      <c r="B4" s="59"/>
      <c r="C4" s="60"/>
      <c r="D4" s="61"/>
      <c r="E4" s="62"/>
      <c r="F4" s="62"/>
      <c r="G4" s="6" t="s">
        <v>155</v>
      </c>
      <c r="H4" s="7">
        <v>27.12</v>
      </c>
      <c r="I4" s="8" t="str">
        <f t="shared" si="0"/>
        <v>N/A</v>
      </c>
    </row>
    <row r="5" spans="1:9">
      <c r="A5" s="58"/>
      <c r="B5" s="59"/>
      <c r="C5" s="60"/>
      <c r="D5" s="61"/>
      <c r="E5" s="62"/>
      <c r="F5" s="62"/>
      <c r="G5" s="6" t="s">
        <v>156</v>
      </c>
      <c r="H5" s="7">
        <v>30.1</v>
      </c>
      <c r="I5" s="8" t="str">
        <f t="shared" si="0"/>
        <v>N/A</v>
      </c>
    </row>
    <row r="6" spans="1:9">
      <c r="A6" s="58"/>
      <c r="B6" s="59"/>
      <c r="C6" s="60"/>
      <c r="D6" s="61"/>
      <c r="E6" s="62"/>
      <c r="F6" s="62"/>
      <c r="G6" s="6" t="s">
        <v>157</v>
      </c>
      <c r="H6" s="7">
        <v>34</v>
      </c>
      <c r="I6" s="8" t="str">
        <f t="shared" si="0"/>
        <v>N/A</v>
      </c>
    </row>
    <row r="7" spans="1:9">
      <c r="A7" s="58"/>
      <c r="B7" s="59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8"/>
      <c r="B8" s="59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8"/>
      <c r="B9" s="59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5.0600494068734321</v>
      </c>
      <c r="B20" s="19">
        <f>COUNT(H3:H17)</f>
        <v>4</v>
      </c>
      <c r="C20" s="20">
        <f>IF(B20&lt;2,"N/A",(A20/D20))</f>
        <v>0.1787371743862039</v>
      </c>
      <c r="D20" s="21">
        <f>ROUND(AVERAGE(H3:H17),2)</f>
        <v>28.31</v>
      </c>
      <c r="E20" s="22" t="str">
        <f>IFERROR(ROUND(IF(B20&lt;2,"N/A",(IF(C20&lt;=25%,"N/A",AVERAGE(I3:I17)))),2),"N/A")</f>
        <v>N/A</v>
      </c>
      <c r="F20" s="22">
        <f>ROUND(MEDIAN(H3:H17),2)</f>
        <v>28.61</v>
      </c>
      <c r="G20" s="23" t="str">
        <f>INDEX(G3:G17,MATCH(H20,H3:H17,0))</f>
        <v>MIX PAPELARIA EIRELI</v>
      </c>
      <c r="H20" s="24">
        <f>MIN(H3:H17)</f>
        <v>22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28.31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35387.5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18" sqref="D1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37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123</v>
      </c>
      <c r="C3" s="60" t="s">
        <v>10</v>
      </c>
      <c r="D3" s="61">
        <f>25000*0.25</f>
        <v>6250</v>
      </c>
      <c r="E3" s="62">
        <f>IF(C20&lt;=25%,D20,MIN(E20:F20))</f>
        <v>3.54</v>
      </c>
      <c r="F3" s="62">
        <f>MIN(H3:H17)</f>
        <v>2.8</v>
      </c>
      <c r="G3" s="6" t="s">
        <v>173</v>
      </c>
      <c r="H3" s="7">
        <v>2.8</v>
      </c>
      <c r="I3" s="8">
        <f t="shared" ref="I3:I17" si="0">IF(H3="","",(IF($C$20&lt;25%,"N/A",IF(H3&lt;=($D$20+$A$20),H3,"Descartado"))))</f>
        <v>2.8</v>
      </c>
    </row>
    <row r="4" spans="1:9">
      <c r="A4" s="58"/>
      <c r="B4" s="59"/>
      <c r="C4" s="60"/>
      <c r="D4" s="61"/>
      <c r="E4" s="62"/>
      <c r="F4" s="62"/>
      <c r="G4" s="6" t="s">
        <v>153</v>
      </c>
      <c r="H4" s="7">
        <v>3.59</v>
      </c>
      <c r="I4" s="8">
        <f t="shared" si="0"/>
        <v>3.59</v>
      </c>
    </row>
    <row r="5" spans="1:9">
      <c r="A5" s="58"/>
      <c r="B5" s="59"/>
      <c r="C5" s="60"/>
      <c r="D5" s="61"/>
      <c r="E5" s="62"/>
      <c r="F5" s="62"/>
      <c r="G5" s="6" t="s">
        <v>174</v>
      </c>
      <c r="H5" s="7">
        <v>3.6</v>
      </c>
      <c r="I5" s="8">
        <f t="shared" si="0"/>
        <v>3.6</v>
      </c>
    </row>
    <row r="6" spans="1:9">
      <c r="A6" s="58"/>
      <c r="B6" s="59"/>
      <c r="C6" s="60"/>
      <c r="D6" s="61"/>
      <c r="E6" s="62"/>
      <c r="F6" s="62"/>
      <c r="G6" s="6" t="s">
        <v>175</v>
      </c>
      <c r="H6" s="7">
        <v>3.74</v>
      </c>
      <c r="I6" s="8">
        <f t="shared" si="0"/>
        <v>3.74</v>
      </c>
    </row>
    <row r="7" spans="1:9">
      <c r="A7" s="58"/>
      <c r="B7" s="59"/>
      <c r="C7" s="60"/>
      <c r="D7" s="61"/>
      <c r="E7" s="62"/>
      <c r="F7" s="62"/>
      <c r="G7" s="6" t="s">
        <v>176</v>
      </c>
      <c r="H7" s="7">
        <v>3.99</v>
      </c>
      <c r="I7" s="8">
        <f t="shared" si="0"/>
        <v>3.99</v>
      </c>
    </row>
    <row r="8" spans="1:9">
      <c r="A8" s="58"/>
      <c r="B8" s="59"/>
      <c r="C8" s="60"/>
      <c r="D8" s="61"/>
      <c r="E8" s="62"/>
      <c r="F8" s="62"/>
      <c r="G8" s="6" t="s">
        <v>177</v>
      </c>
      <c r="H8" s="7">
        <v>6.18</v>
      </c>
      <c r="I8" s="8" t="str">
        <f t="shared" si="0"/>
        <v>Descartado</v>
      </c>
    </row>
    <row r="9" spans="1:9">
      <c r="A9" s="58"/>
      <c r="B9" s="59"/>
      <c r="C9" s="60"/>
      <c r="D9" s="61"/>
      <c r="E9" s="62"/>
      <c r="F9" s="62"/>
      <c r="G9" s="6" t="s">
        <v>178</v>
      </c>
      <c r="H9" s="7">
        <v>7.1</v>
      </c>
      <c r="I9" s="8" t="str">
        <f t="shared" si="0"/>
        <v>Descartado</v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1.5765196750165489</v>
      </c>
      <c r="B20" s="19">
        <f>COUNT(H3:H17)</f>
        <v>7</v>
      </c>
      <c r="C20" s="20">
        <f>IF(B20&lt;2,"N/A",(A20/D20))</f>
        <v>0.35587351580509008</v>
      </c>
      <c r="D20" s="21">
        <f>ROUND(AVERAGE(H3:H17),2)</f>
        <v>4.43</v>
      </c>
      <c r="E20" s="22">
        <f>IFERROR(ROUND(IF(B20&lt;2,"N/A",(IF(C20&lt;=25%,"N/A",AVERAGE(I3:I17)))),2),"N/A")</f>
        <v>3.54</v>
      </c>
      <c r="F20" s="22">
        <f>ROUND(MEDIAN(H3:H17),2)</f>
        <v>3.74</v>
      </c>
      <c r="G20" s="23" t="str">
        <f>INDEX(G3:G17,MATCH(H20,H3:H17,0))</f>
        <v>LIVRARIA E PAPELARIA PRATICA LTDA</v>
      </c>
      <c r="H20" s="24">
        <f>MIN(H3:H17)</f>
        <v>2.8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3.54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22125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0" sqref="G10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38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124</v>
      </c>
      <c r="C3" s="60" t="s">
        <v>10</v>
      </c>
      <c r="D3" s="61">
        <v>1000</v>
      </c>
      <c r="E3" s="62">
        <f>IF(C20&lt;=25%,D20,MIN(E20:F20))</f>
        <v>21.23</v>
      </c>
      <c r="F3" s="62">
        <f>MIN(H3:H17)</f>
        <v>14.5</v>
      </c>
      <c r="G3" s="6" t="s">
        <v>210</v>
      </c>
      <c r="H3" s="7">
        <v>14.5</v>
      </c>
      <c r="I3" s="8">
        <f t="shared" ref="I3:I17" si="0">IF(H3="","",(IF($C$20&lt;25%,"N/A",IF(H3&lt;=($D$20+$A$20),H3,"Descartado"))))</f>
        <v>14.5</v>
      </c>
    </row>
    <row r="4" spans="1:9">
      <c r="A4" s="58"/>
      <c r="B4" s="59"/>
      <c r="C4" s="60"/>
      <c r="D4" s="61"/>
      <c r="E4" s="62"/>
      <c r="F4" s="62"/>
      <c r="G4" s="6" t="s">
        <v>159</v>
      </c>
      <c r="H4" s="7">
        <v>15.42</v>
      </c>
      <c r="I4" s="8">
        <f t="shared" si="0"/>
        <v>15.42</v>
      </c>
    </row>
    <row r="5" spans="1:9">
      <c r="A5" s="58"/>
      <c r="B5" s="59"/>
      <c r="C5" s="60"/>
      <c r="D5" s="61"/>
      <c r="E5" s="62"/>
      <c r="F5" s="62"/>
      <c r="G5" s="6" t="s">
        <v>211</v>
      </c>
      <c r="H5" s="7">
        <v>24.5</v>
      </c>
      <c r="I5" s="8">
        <f t="shared" si="0"/>
        <v>24.5</v>
      </c>
    </row>
    <row r="6" spans="1:9">
      <c r="A6" s="58"/>
      <c r="B6" s="59"/>
      <c r="C6" s="60"/>
      <c r="D6" s="61"/>
      <c r="E6" s="62"/>
      <c r="F6" s="62"/>
      <c r="G6" s="6" t="s">
        <v>212</v>
      </c>
      <c r="H6" s="7">
        <v>24.9</v>
      </c>
      <c r="I6" s="8">
        <f t="shared" si="0"/>
        <v>24.9</v>
      </c>
    </row>
    <row r="7" spans="1:9">
      <c r="A7" s="58"/>
      <c r="B7" s="59"/>
      <c r="C7" s="60"/>
      <c r="D7" s="61"/>
      <c r="E7" s="62"/>
      <c r="F7" s="62"/>
      <c r="G7" s="6" t="s">
        <v>167</v>
      </c>
      <c r="H7" s="7">
        <v>26.85</v>
      </c>
      <c r="I7" s="8">
        <f t="shared" si="0"/>
        <v>26.85</v>
      </c>
    </row>
    <row r="8" spans="1:9">
      <c r="A8" s="58"/>
      <c r="B8" s="59"/>
      <c r="C8" s="60"/>
      <c r="D8" s="61"/>
      <c r="E8" s="62"/>
      <c r="F8" s="62"/>
      <c r="G8" s="6" t="s">
        <v>213</v>
      </c>
      <c r="H8" s="7">
        <v>33.39</v>
      </c>
      <c r="I8" s="8" t="str">
        <f t="shared" si="0"/>
        <v>Descartado</v>
      </c>
    </row>
    <row r="9" spans="1:9">
      <c r="A9" s="58"/>
      <c r="B9" s="59"/>
      <c r="C9" s="60"/>
      <c r="D9" s="61"/>
      <c r="E9" s="62"/>
      <c r="F9" s="62"/>
      <c r="G9" s="6" t="s">
        <v>151</v>
      </c>
      <c r="H9" s="7">
        <v>34.799999999999997</v>
      </c>
      <c r="I9" s="8" t="str">
        <f t="shared" si="0"/>
        <v>Descartado</v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7.8748808003072268</v>
      </c>
      <c r="B20" s="19">
        <f>COUNT(H3:H17)</f>
        <v>7</v>
      </c>
      <c r="C20" s="20">
        <f>IF(B20&lt;2,"N/A",(A20/D20))</f>
        <v>0.31613331193525601</v>
      </c>
      <c r="D20" s="21">
        <f>ROUND(AVERAGE(H3:H17),2)</f>
        <v>24.91</v>
      </c>
      <c r="E20" s="22">
        <f>IFERROR(ROUND(IF(B20&lt;2,"N/A",(IF(C20&lt;=25%,"N/A",AVERAGE(I3:I17)))),2),"N/A")</f>
        <v>21.23</v>
      </c>
      <c r="F20" s="22">
        <f>ROUND(MEDIAN(H3:H17),2)</f>
        <v>24.9</v>
      </c>
      <c r="G20" s="23" t="str">
        <f>INDEX(G3:G17,MATCH(H20,H3:H17,0))</f>
        <v>VL PAPELARIA LIVRARIA E INFORMATICA LTDA</v>
      </c>
      <c r="H20" s="24">
        <f>MIN(H3:H17)</f>
        <v>14.5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21.23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21230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9" sqref="G9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39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125</v>
      </c>
      <c r="C3" s="60" t="s">
        <v>10</v>
      </c>
      <c r="D3" s="61">
        <v>200</v>
      </c>
      <c r="E3" s="62">
        <f>IF(C20&lt;=25%,D20,MIN(E20:F20))</f>
        <v>4.79</v>
      </c>
      <c r="F3" s="62">
        <f>MIN(H3:H17)</f>
        <v>1.5</v>
      </c>
      <c r="G3" s="6" t="s">
        <v>64</v>
      </c>
      <c r="H3" s="7">
        <v>1.5</v>
      </c>
      <c r="I3" s="8">
        <f t="shared" ref="I3:I17" si="0">IF(H3="","",(IF($C$20&lt;25%,"N/A",IF(H3&lt;=($D$20+$A$20),H3,"Descartado"))))</f>
        <v>1.5</v>
      </c>
    </row>
    <row r="4" spans="1:9">
      <c r="A4" s="58"/>
      <c r="B4" s="59"/>
      <c r="C4" s="60"/>
      <c r="D4" s="61"/>
      <c r="E4" s="62"/>
      <c r="F4" s="62"/>
      <c r="G4" s="6" t="s">
        <v>201</v>
      </c>
      <c r="H4" s="7">
        <v>3.6</v>
      </c>
      <c r="I4" s="8">
        <f t="shared" si="0"/>
        <v>3.6</v>
      </c>
    </row>
    <row r="5" spans="1:9">
      <c r="A5" s="58"/>
      <c r="B5" s="59"/>
      <c r="C5" s="60"/>
      <c r="D5" s="61"/>
      <c r="E5" s="62"/>
      <c r="F5" s="62"/>
      <c r="G5" s="6" t="s">
        <v>202</v>
      </c>
      <c r="H5" s="7">
        <v>5.77</v>
      </c>
      <c r="I5" s="8">
        <f t="shared" si="0"/>
        <v>5.77</v>
      </c>
    </row>
    <row r="6" spans="1:9">
      <c r="A6" s="58"/>
      <c r="B6" s="59"/>
      <c r="C6" s="60"/>
      <c r="D6" s="61"/>
      <c r="E6" s="62"/>
      <c r="F6" s="62"/>
      <c r="G6" s="6" t="s">
        <v>203</v>
      </c>
      <c r="H6" s="7">
        <v>6.07</v>
      </c>
      <c r="I6" s="8">
        <f t="shared" si="0"/>
        <v>6.07</v>
      </c>
    </row>
    <row r="7" spans="1:9">
      <c r="A7" s="58"/>
      <c r="B7" s="59"/>
      <c r="C7" s="60"/>
      <c r="D7" s="61"/>
      <c r="E7" s="62"/>
      <c r="F7" s="62"/>
      <c r="G7" s="6" t="s">
        <v>204</v>
      </c>
      <c r="H7" s="7">
        <v>6.99</v>
      </c>
      <c r="I7" s="8">
        <f t="shared" si="0"/>
        <v>6.99</v>
      </c>
    </row>
    <row r="8" spans="1:9">
      <c r="A8" s="58"/>
      <c r="B8" s="59"/>
      <c r="C8" s="60"/>
      <c r="D8" s="61"/>
      <c r="E8" s="62"/>
      <c r="F8" s="62"/>
      <c r="G8" s="6" t="s">
        <v>173</v>
      </c>
      <c r="H8" s="7">
        <v>8.9</v>
      </c>
      <c r="I8" s="8" t="str">
        <f t="shared" si="0"/>
        <v>Descartado</v>
      </c>
    </row>
    <row r="9" spans="1:9">
      <c r="A9" s="58"/>
      <c r="B9" s="59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2.5993492775436446</v>
      </c>
      <c r="B20" s="19">
        <f>COUNT(H3:H17)</f>
        <v>6</v>
      </c>
      <c r="C20" s="20">
        <f>IF(B20&lt;2,"N/A",(A20/D20))</f>
        <v>0.47520096481602281</v>
      </c>
      <c r="D20" s="21">
        <f>ROUND(AVERAGE(H3:H17),2)</f>
        <v>5.47</v>
      </c>
      <c r="E20" s="22">
        <f>IFERROR(ROUND(IF(B20&lt;2,"N/A",(IF(C20&lt;=25%,"N/A",AVERAGE(I3:I17)))),2),"N/A")</f>
        <v>4.79</v>
      </c>
      <c r="F20" s="22">
        <f>ROUND(MEDIAN(H3:H17),2)</f>
        <v>5.92</v>
      </c>
      <c r="G20" s="23" t="str">
        <f>INDEX(G3:G17,MATCH(H20,H3:H17,0))</f>
        <v>ROSENEIDE DA SILVA 31624995691</v>
      </c>
      <c r="H20" s="24">
        <f>MIN(H3:H17)</f>
        <v>1.5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4.79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958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7" sqref="G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40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126</v>
      </c>
      <c r="C3" s="60" t="s">
        <v>10</v>
      </c>
      <c r="D3" s="61">
        <v>4000</v>
      </c>
      <c r="E3" s="62">
        <f>IF(C20&lt;=25%,D20,MIN(E20:F20))</f>
        <v>0.87</v>
      </c>
      <c r="F3" s="62">
        <f>MIN(H3:H17)</f>
        <v>0.7</v>
      </c>
      <c r="G3" s="6" t="s">
        <v>173</v>
      </c>
      <c r="H3" s="7">
        <v>0.7</v>
      </c>
      <c r="I3" s="8" t="str">
        <f t="shared" ref="I3:I17" si="0">IF(H3="","",(IF($C$20&lt;25%,"N/A",IF(H3&lt;=($D$20+$A$20),H3,"Descartado"))))</f>
        <v>N/A</v>
      </c>
    </row>
    <row r="4" spans="1:9">
      <c r="A4" s="58"/>
      <c r="B4" s="59"/>
      <c r="C4" s="60"/>
      <c r="D4" s="61"/>
      <c r="E4" s="62"/>
      <c r="F4" s="62"/>
      <c r="G4" s="6" t="s">
        <v>247</v>
      </c>
      <c r="H4" s="7">
        <v>0.88</v>
      </c>
      <c r="I4" s="8" t="str">
        <f t="shared" si="0"/>
        <v>N/A</v>
      </c>
    </row>
    <row r="5" spans="1:9">
      <c r="A5" s="58"/>
      <c r="B5" s="59"/>
      <c r="C5" s="60"/>
      <c r="D5" s="61"/>
      <c r="E5" s="62"/>
      <c r="F5" s="62"/>
      <c r="G5" s="6" t="s">
        <v>248</v>
      </c>
      <c r="H5" s="7">
        <v>0.91</v>
      </c>
      <c r="I5" s="8" t="str">
        <f t="shared" si="0"/>
        <v>N/A</v>
      </c>
    </row>
    <row r="6" spans="1:9">
      <c r="A6" s="58"/>
      <c r="B6" s="59"/>
      <c r="C6" s="60"/>
      <c r="D6" s="61"/>
      <c r="E6" s="62"/>
      <c r="F6" s="62"/>
      <c r="G6" s="6" t="s">
        <v>249</v>
      </c>
      <c r="H6" s="7">
        <v>1</v>
      </c>
      <c r="I6" s="8" t="str">
        <f t="shared" si="0"/>
        <v>N/A</v>
      </c>
    </row>
    <row r="7" spans="1:9">
      <c r="A7" s="58"/>
      <c r="B7" s="59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8"/>
      <c r="B8" s="59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8"/>
      <c r="B9" s="59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0.12579745625409117</v>
      </c>
      <c r="B20" s="19">
        <f>COUNT(H3:H17)</f>
        <v>4</v>
      </c>
      <c r="C20" s="20">
        <f>IF(B20&lt;2,"N/A",(A20/D20))</f>
        <v>0.14459477730355308</v>
      </c>
      <c r="D20" s="21">
        <f>ROUND(AVERAGE(H3:H17),2)</f>
        <v>0.87</v>
      </c>
      <c r="E20" s="22" t="str">
        <f>IFERROR(ROUND(IF(B20&lt;2,"N/A",(IF(C20&lt;=25%,"N/A",AVERAGE(I3:I17)))),2),"N/A")</f>
        <v>N/A</v>
      </c>
      <c r="F20" s="22">
        <f>ROUND(MEDIAN(H3:H17),2)</f>
        <v>0.9</v>
      </c>
      <c r="G20" s="23" t="str">
        <f>INDEX(G3:G17,MATCH(H20,H3:H17,0))</f>
        <v>LIVRARIA E PAPELARIA PRATICA LTDA</v>
      </c>
      <c r="H20" s="24">
        <f>MIN(H3:H17)</f>
        <v>0.7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0.87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3480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0" sqref="G10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41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127</v>
      </c>
      <c r="C3" s="60" t="s">
        <v>10</v>
      </c>
      <c r="D3" s="61">
        <v>1000</v>
      </c>
      <c r="E3" s="62">
        <f>IF(C20&lt;=25%,D20,MIN(E20:F20))</f>
        <v>2.4</v>
      </c>
      <c r="F3" s="62">
        <f>MIN(H3:H17)</f>
        <v>0.85</v>
      </c>
      <c r="G3" s="6" t="s">
        <v>237</v>
      </c>
      <c r="H3" s="7">
        <v>0.85</v>
      </c>
      <c r="I3" s="8">
        <f t="shared" ref="I3:I17" si="0">IF(H3="","",(IF($C$20&lt;25%,"N/A",IF(H3&lt;=($D$20+$A$20),H3,"Descartado"))))</f>
        <v>0.85</v>
      </c>
    </row>
    <row r="4" spans="1:9">
      <c r="A4" s="58"/>
      <c r="B4" s="59"/>
      <c r="C4" s="60"/>
      <c r="D4" s="61"/>
      <c r="E4" s="62"/>
      <c r="F4" s="62"/>
      <c r="G4" s="6" t="s">
        <v>175</v>
      </c>
      <c r="H4" s="7">
        <v>1.5699999999999901</v>
      </c>
      <c r="I4" s="8">
        <f t="shared" si="0"/>
        <v>1.5699999999999901</v>
      </c>
    </row>
    <row r="5" spans="1:9">
      <c r="A5" s="58"/>
      <c r="B5" s="59"/>
      <c r="C5" s="60"/>
      <c r="D5" s="61"/>
      <c r="E5" s="62"/>
      <c r="F5" s="62"/>
      <c r="G5" s="6" t="s">
        <v>238</v>
      </c>
      <c r="H5" s="7">
        <v>2</v>
      </c>
      <c r="I5" s="8">
        <f t="shared" si="0"/>
        <v>2</v>
      </c>
    </row>
    <row r="6" spans="1:9">
      <c r="A6" s="58"/>
      <c r="B6" s="59"/>
      <c r="C6" s="60"/>
      <c r="D6" s="61"/>
      <c r="E6" s="62"/>
      <c r="F6" s="62"/>
      <c r="G6" s="6" t="s">
        <v>236</v>
      </c>
      <c r="H6" s="7">
        <v>2.4</v>
      </c>
      <c r="I6" s="8">
        <f t="shared" si="0"/>
        <v>2.4</v>
      </c>
    </row>
    <row r="7" spans="1:9">
      <c r="A7" s="58"/>
      <c r="B7" s="59"/>
      <c r="C7" s="60"/>
      <c r="D7" s="61"/>
      <c r="E7" s="62"/>
      <c r="F7" s="62"/>
      <c r="G7" s="6" t="s">
        <v>239</v>
      </c>
      <c r="H7" s="7">
        <v>12.75</v>
      </c>
      <c r="I7" s="8">
        <f t="shared" si="0"/>
        <v>12.75</v>
      </c>
    </row>
    <row r="8" spans="1:9">
      <c r="A8" s="58"/>
      <c r="B8" s="59"/>
      <c r="C8" s="60"/>
      <c r="D8" s="61"/>
      <c r="E8" s="62"/>
      <c r="F8" s="62"/>
      <c r="G8" s="6" t="s">
        <v>240</v>
      </c>
      <c r="H8" s="7">
        <v>19.78</v>
      </c>
      <c r="I8" s="8" t="str">
        <f t="shared" si="0"/>
        <v>Descartado</v>
      </c>
    </row>
    <row r="9" spans="1:9">
      <c r="A9" s="58"/>
      <c r="B9" s="59"/>
      <c r="C9" s="60"/>
      <c r="D9" s="61"/>
      <c r="E9" s="62"/>
      <c r="F9" s="62"/>
      <c r="G9" s="6" t="s">
        <v>241</v>
      </c>
      <c r="H9" s="7">
        <v>22.25</v>
      </c>
      <c r="I9" s="8" t="str">
        <f t="shared" si="0"/>
        <v>Descartado</v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9.3071728611145215</v>
      </c>
      <c r="B20" s="19">
        <f>COUNT(H3:H17)</f>
        <v>7</v>
      </c>
      <c r="C20" s="20">
        <f>IF(B20&lt;2,"N/A",(A20/D20))</f>
        <v>1.0576332796721046</v>
      </c>
      <c r="D20" s="21">
        <f>ROUND(AVERAGE(H3:H17),2)</f>
        <v>8.8000000000000007</v>
      </c>
      <c r="E20" s="22">
        <f>IFERROR(ROUND(IF(B20&lt;2,"N/A",(IF(C20&lt;=25%,"N/A",AVERAGE(I3:I17)))),2),"N/A")</f>
        <v>3.91</v>
      </c>
      <c r="F20" s="22">
        <f>ROUND(MEDIAN(H3:H17),2)</f>
        <v>2.4</v>
      </c>
      <c r="G20" s="23" t="str">
        <f>INDEX(G3:G17,MATCH(H20,H3:H17,0))</f>
        <v>EXCLUSIVA SERVICOS E COMERCIO LTDA</v>
      </c>
      <c r="H20" s="24">
        <f>MIN(H3:H17)</f>
        <v>0.85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2.4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2400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1" sqref="G11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42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128</v>
      </c>
      <c r="C3" s="60" t="s">
        <v>113</v>
      </c>
      <c r="D3" s="61">
        <v>3000</v>
      </c>
      <c r="E3" s="62">
        <f>IF(C20&lt;=25%,D20,MIN(E20:F20))</f>
        <v>2.2799999999999998</v>
      </c>
      <c r="F3" s="62">
        <f>MIN(H3:H17)</f>
        <v>1.78</v>
      </c>
      <c r="G3" s="6" t="s">
        <v>173</v>
      </c>
      <c r="H3" s="7">
        <v>1.78</v>
      </c>
      <c r="I3" s="8">
        <f t="shared" ref="I3:I17" si="0">IF(H3="","",(IF($C$20&lt;25%,"N/A",IF(H3&lt;=($D$20+$A$20),H3,"Descartado"))))</f>
        <v>1.78</v>
      </c>
    </row>
    <row r="4" spans="1:9">
      <c r="A4" s="58"/>
      <c r="B4" s="59"/>
      <c r="C4" s="60"/>
      <c r="D4" s="61"/>
      <c r="E4" s="62"/>
      <c r="F4" s="62"/>
      <c r="G4" s="6" t="s">
        <v>224</v>
      </c>
      <c r="H4" s="7">
        <v>1.92</v>
      </c>
      <c r="I4" s="8">
        <f t="shared" si="0"/>
        <v>1.92</v>
      </c>
    </row>
    <row r="5" spans="1:9">
      <c r="A5" s="58"/>
      <c r="B5" s="59"/>
      <c r="C5" s="60"/>
      <c r="D5" s="61"/>
      <c r="E5" s="62"/>
      <c r="F5" s="62"/>
      <c r="G5" s="6" t="s">
        <v>242</v>
      </c>
      <c r="H5" s="7">
        <v>2.11</v>
      </c>
      <c r="I5" s="8">
        <f t="shared" si="0"/>
        <v>2.11</v>
      </c>
    </row>
    <row r="6" spans="1:9">
      <c r="A6" s="58"/>
      <c r="B6" s="59"/>
      <c r="C6" s="60"/>
      <c r="D6" s="61"/>
      <c r="E6" s="62"/>
      <c r="F6" s="62"/>
      <c r="G6" s="6" t="s">
        <v>243</v>
      </c>
      <c r="H6" s="7">
        <v>2.2400000000000002</v>
      </c>
      <c r="I6" s="8">
        <f t="shared" si="0"/>
        <v>2.2400000000000002</v>
      </c>
    </row>
    <row r="7" spans="1:9">
      <c r="A7" s="58"/>
      <c r="B7" s="59"/>
      <c r="C7" s="60"/>
      <c r="D7" s="61"/>
      <c r="E7" s="62"/>
      <c r="F7" s="62"/>
      <c r="G7" s="6" t="s">
        <v>244</v>
      </c>
      <c r="H7" s="7">
        <v>2.4</v>
      </c>
      <c r="I7" s="8">
        <f t="shared" si="0"/>
        <v>2.4</v>
      </c>
    </row>
    <row r="8" spans="1:9">
      <c r="A8" s="58"/>
      <c r="B8" s="59"/>
      <c r="C8" s="60"/>
      <c r="D8" s="61"/>
      <c r="E8" s="62"/>
      <c r="F8" s="62"/>
      <c r="G8" s="6" t="s">
        <v>156</v>
      </c>
      <c r="H8" s="7">
        <v>2.41</v>
      </c>
      <c r="I8" s="8">
        <f t="shared" si="0"/>
        <v>2.41</v>
      </c>
    </row>
    <row r="9" spans="1:9">
      <c r="A9" s="58"/>
      <c r="B9" s="59"/>
      <c r="C9" s="60"/>
      <c r="D9" s="61"/>
      <c r="E9" s="62"/>
      <c r="F9" s="62"/>
      <c r="G9" s="6" t="s">
        <v>245</v>
      </c>
      <c r="H9" s="7">
        <v>3.08</v>
      </c>
      <c r="I9" s="8">
        <f t="shared" si="0"/>
        <v>3.08</v>
      </c>
    </row>
    <row r="10" spans="1:9">
      <c r="A10" s="58"/>
      <c r="B10" s="59"/>
      <c r="C10" s="60"/>
      <c r="D10" s="61"/>
      <c r="E10" s="62"/>
      <c r="F10" s="62"/>
      <c r="G10" s="6" t="s">
        <v>246</v>
      </c>
      <c r="H10" s="7">
        <v>3.93</v>
      </c>
      <c r="I10" s="8" t="str">
        <f t="shared" si="0"/>
        <v>Descartado</v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0.70425112201340623</v>
      </c>
      <c r="B20" s="19">
        <f>COUNT(H3:H17)</f>
        <v>8</v>
      </c>
      <c r="C20" s="20">
        <f>IF(B20&lt;2,"N/A",(A20/D20))</f>
        <v>0.28397222661830895</v>
      </c>
      <c r="D20" s="21">
        <f>ROUND(AVERAGE(H3:H17),2)</f>
        <v>2.48</v>
      </c>
      <c r="E20" s="22">
        <f>IFERROR(ROUND(IF(B20&lt;2,"N/A",(IF(C20&lt;=25%,"N/A",AVERAGE(I3:I17)))),2),"N/A")</f>
        <v>2.2799999999999998</v>
      </c>
      <c r="F20" s="22">
        <f>ROUND(MEDIAN(H3:H17),2)</f>
        <v>2.3199999999999998</v>
      </c>
      <c r="G20" s="23" t="str">
        <f>INDEX(G3:G17,MATCH(H20,H3:H17,0))</f>
        <v>LIVRARIA E PAPELARIA PRATICA LTDA</v>
      </c>
      <c r="H20" s="24">
        <f>MIN(H3:H17)</f>
        <v>1.78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2.2799999999999998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6839.9999999999991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8" sqref="G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43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129</v>
      </c>
      <c r="C3" s="60" t="s">
        <v>113</v>
      </c>
      <c r="D3" s="61">
        <v>1000</v>
      </c>
      <c r="E3" s="62">
        <f>IF(C20&lt;=25%,D20,MIN(E20:F20))</f>
        <v>2.62</v>
      </c>
      <c r="F3" s="62">
        <f>MIN(H3:H17)</f>
        <v>2.25</v>
      </c>
      <c r="G3" s="6" t="s">
        <v>173</v>
      </c>
      <c r="H3" s="7">
        <v>2.25</v>
      </c>
      <c r="I3" s="8">
        <f t="shared" ref="I3:I17" si="0">IF(H3="","",(IF($C$20&lt;25%,"N/A",IF(H3&lt;=($D$20+$A$20),H3,"Descartado"))))</f>
        <v>2.25</v>
      </c>
    </row>
    <row r="4" spans="1:9">
      <c r="A4" s="58"/>
      <c r="B4" s="59"/>
      <c r="C4" s="60"/>
      <c r="D4" s="61"/>
      <c r="E4" s="62"/>
      <c r="F4" s="62"/>
      <c r="G4" s="6" t="s">
        <v>234</v>
      </c>
      <c r="H4" s="7">
        <v>2.5499999999999998</v>
      </c>
      <c r="I4" s="8">
        <f t="shared" si="0"/>
        <v>2.5499999999999998</v>
      </c>
    </row>
    <row r="5" spans="1:9">
      <c r="A5" s="58"/>
      <c r="B5" s="59"/>
      <c r="C5" s="60"/>
      <c r="D5" s="61"/>
      <c r="E5" s="62"/>
      <c r="F5" s="62"/>
      <c r="G5" s="6" t="s">
        <v>163</v>
      </c>
      <c r="H5" s="7">
        <v>2.62</v>
      </c>
      <c r="I5" s="8">
        <f t="shared" si="0"/>
        <v>2.62</v>
      </c>
    </row>
    <row r="6" spans="1:9">
      <c r="A6" s="58"/>
      <c r="B6" s="59"/>
      <c r="C6" s="60"/>
      <c r="D6" s="61"/>
      <c r="E6" s="62"/>
      <c r="F6" s="62"/>
      <c r="G6" s="6" t="s">
        <v>235</v>
      </c>
      <c r="H6" s="7">
        <v>3.76</v>
      </c>
      <c r="I6" s="8">
        <f t="shared" si="0"/>
        <v>3.76</v>
      </c>
    </row>
    <row r="7" spans="1:9">
      <c r="A7" s="58"/>
      <c r="B7" s="59"/>
      <c r="C7" s="60"/>
      <c r="D7" s="61"/>
      <c r="E7" s="62"/>
      <c r="F7" s="62"/>
      <c r="G7" s="6" t="s">
        <v>236</v>
      </c>
      <c r="H7" s="7">
        <v>4.05</v>
      </c>
      <c r="I7" s="8" t="str">
        <f t="shared" si="0"/>
        <v>Descartado</v>
      </c>
    </row>
    <row r="8" spans="1:9">
      <c r="A8" s="58"/>
      <c r="B8" s="59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8"/>
      <c r="B9" s="59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0.80295080795774731</v>
      </c>
      <c r="B20" s="19">
        <f>COUNT(H3:H17)</f>
        <v>5</v>
      </c>
      <c r="C20" s="20">
        <f>IF(B20&lt;2,"N/A",(A20/D20))</f>
        <v>0.26326255998614667</v>
      </c>
      <c r="D20" s="21">
        <f>ROUND(AVERAGE(H3:H17),2)</f>
        <v>3.05</v>
      </c>
      <c r="E20" s="22">
        <f>IFERROR(ROUND(IF(B20&lt;2,"N/A",(IF(C20&lt;=25%,"N/A",AVERAGE(I3:I17)))),2),"N/A")</f>
        <v>2.8</v>
      </c>
      <c r="F20" s="22">
        <f>ROUND(MEDIAN(H3:H17),2)</f>
        <v>2.62</v>
      </c>
      <c r="G20" s="23" t="str">
        <f>INDEX(G3:G17,MATCH(H20,H3:H17,0))</f>
        <v>LIVRARIA E PAPELARIA PRATICA LTDA</v>
      </c>
      <c r="H20" s="24">
        <f>MIN(H3:H17)</f>
        <v>2.25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2.62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2620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18" sqref="D1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44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130</v>
      </c>
      <c r="C3" s="60" t="s">
        <v>131</v>
      </c>
      <c r="D3" s="61">
        <v>4362</v>
      </c>
      <c r="E3" s="62">
        <f>IF(C20&lt;=25%,D20,MIN(E20:F20))</f>
        <v>18.34</v>
      </c>
      <c r="F3" s="62">
        <f>MIN(H3:H17)</f>
        <v>15.26</v>
      </c>
      <c r="G3" s="6" t="s">
        <v>222</v>
      </c>
      <c r="H3" s="7">
        <v>15.26</v>
      </c>
      <c r="I3" s="8" t="str">
        <f t="shared" ref="I3:I17" si="0">IF(H3="","",(IF($C$20&lt;25%,"N/A",IF(H3&lt;=($D$20+$A$20),H3,"Descartado"))))</f>
        <v>N/A</v>
      </c>
    </row>
    <row r="4" spans="1:9">
      <c r="A4" s="58"/>
      <c r="B4" s="59"/>
      <c r="C4" s="60"/>
      <c r="D4" s="61"/>
      <c r="E4" s="62"/>
      <c r="F4" s="62"/>
      <c r="G4" s="6" t="s">
        <v>223</v>
      </c>
      <c r="H4" s="7">
        <v>15.35</v>
      </c>
      <c r="I4" s="8" t="str">
        <f t="shared" si="0"/>
        <v>N/A</v>
      </c>
    </row>
    <row r="5" spans="1:9">
      <c r="A5" s="58"/>
      <c r="B5" s="59"/>
      <c r="C5" s="60"/>
      <c r="D5" s="61"/>
      <c r="E5" s="62"/>
      <c r="F5" s="62"/>
      <c r="G5" s="6" t="s">
        <v>224</v>
      </c>
      <c r="H5" s="7">
        <v>16.68</v>
      </c>
      <c r="I5" s="8" t="str">
        <f t="shared" si="0"/>
        <v>N/A</v>
      </c>
    </row>
    <row r="6" spans="1:9">
      <c r="A6" s="58"/>
      <c r="B6" s="59"/>
      <c r="C6" s="60"/>
      <c r="D6" s="61"/>
      <c r="E6" s="62"/>
      <c r="F6" s="62"/>
      <c r="G6" s="6" t="s">
        <v>225</v>
      </c>
      <c r="H6" s="7">
        <v>18.899999999999999</v>
      </c>
      <c r="I6" s="8" t="str">
        <f t="shared" si="0"/>
        <v>N/A</v>
      </c>
    </row>
    <row r="7" spans="1:9">
      <c r="A7" s="58"/>
      <c r="B7" s="59"/>
      <c r="C7" s="60"/>
      <c r="D7" s="61"/>
      <c r="E7" s="62"/>
      <c r="F7" s="62"/>
      <c r="G7" s="6" t="s">
        <v>226</v>
      </c>
      <c r="H7" s="7">
        <v>21.85</v>
      </c>
      <c r="I7" s="8" t="str">
        <f t="shared" si="0"/>
        <v>N/A</v>
      </c>
    </row>
    <row r="8" spans="1:9">
      <c r="A8" s="58"/>
      <c r="B8" s="59"/>
      <c r="C8" s="60"/>
      <c r="D8" s="61"/>
      <c r="E8" s="62"/>
      <c r="F8" s="62"/>
      <c r="G8" s="6" t="s">
        <v>163</v>
      </c>
      <c r="H8" s="7">
        <v>22</v>
      </c>
      <c r="I8" s="8" t="str">
        <f t="shared" si="0"/>
        <v>N/A</v>
      </c>
    </row>
    <row r="9" spans="1:9">
      <c r="A9" s="58"/>
      <c r="B9" s="59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3.0728293151426542</v>
      </c>
      <c r="B20" s="19">
        <f>COUNT(H3:H17)</f>
        <v>6</v>
      </c>
      <c r="C20" s="20">
        <f>IF(B20&lt;2,"N/A",(A20/D20))</f>
        <v>0.16754794520952312</v>
      </c>
      <c r="D20" s="21">
        <f>ROUND(AVERAGE(H3:H17),2)</f>
        <v>18.34</v>
      </c>
      <c r="E20" s="22" t="str">
        <f>IFERROR(ROUND(IF(B20&lt;2,"N/A",(IF(C20&lt;=25%,"N/A",AVERAGE(I3:I17)))),2),"N/A")</f>
        <v>N/A</v>
      </c>
      <c r="F20" s="22">
        <f>ROUND(MEDIAN(H3:H17),2)</f>
        <v>17.79</v>
      </c>
      <c r="G20" s="23" t="str">
        <f>INDEX(G3:G17,MATCH(H20,H3:H17,0))</f>
        <v>RADIOMED MATERIAIS E SERVICOS LTDA</v>
      </c>
      <c r="H20" s="24">
        <f>MIN(H3:H17)</f>
        <v>15.26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18.34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79999.08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5" sqref="G15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45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132</v>
      </c>
      <c r="C3" s="60" t="s">
        <v>131</v>
      </c>
      <c r="D3" s="61">
        <v>100</v>
      </c>
      <c r="E3" s="62">
        <f>IF(C20&lt;=25%,D20,MIN(E20:F20))</f>
        <v>41.42</v>
      </c>
      <c r="F3" s="62">
        <f>MIN(H3:H17)</f>
        <v>20.386900000000001</v>
      </c>
      <c r="G3" s="6" t="s">
        <v>227</v>
      </c>
      <c r="H3" s="7">
        <v>20.386900000000001</v>
      </c>
      <c r="I3" s="8">
        <f t="shared" ref="I3:I17" si="0">IF(H3="","",(IF($C$20&lt;25%,"N/A",IF(H3&lt;=($D$20+$A$20),H3,"Descartado"))))</f>
        <v>20.386900000000001</v>
      </c>
    </row>
    <row r="4" spans="1:9">
      <c r="A4" s="58"/>
      <c r="B4" s="59"/>
      <c r="C4" s="60"/>
      <c r="D4" s="61"/>
      <c r="E4" s="62"/>
      <c r="F4" s="62"/>
      <c r="G4" s="6" t="s">
        <v>173</v>
      </c>
      <c r="H4" s="7">
        <v>38</v>
      </c>
      <c r="I4" s="8">
        <f t="shared" si="0"/>
        <v>38</v>
      </c>
    </row>
    <row r="5" spans="1:9">
      <c r="A5" s="58"/>
      <c r="B5" s="59"/>
      <c r="C5" s="60"/>
      <c r="D5" s="61"/>
      <c r="E5" s="62"/>
      <c r="F5" s="62"/>
      <c r="G5" s="6" t="s">
        <v>168</v>
      </c>
      <c r="H5" s="7">
        <v>38.549999999999997</v>
      </c>
      <c r="I5" s="8">
        <f t="shared" si="0"/>
        <v>38.549999999999997</v>
      </c>
    </row>
    <row r="6" spans="1:9">
      <c r="A6" s="58"/>
      <c r="B6" s="59"/>
      <c r="C6" s="60"/>
      <c r="D6" s="61"/>
      <c r="E6" s="62"/>
      <c r="F6" s="62"/>
      <c r="G6" s="6" t="s">
        <v>163</v>
      </c>
      <c r="H6" s="7">
        <v>39</v>
      </c>
      <c r="I6" s="8">
        <f t="shared" si="0"/>
        <v>39</v>
      </c>
    </row>
    <row r="7" spans="1:9">
      <c r="A7" s="58"/>
      <c r="B7" s="59"/>
      <c r="C7" s="60"/>
      <c r="D7" s="61"/>
      <c r="E7" s="62"/>
      <c r="F7" s="62"/>
      <c r="G7" s="6" t="s">
        <v>228</v>
      </c>
      <c r="H7" s="7">
        <v>39.61</v>
      </c>
      <c r="I7" s="8">
        <f t="shared" si="0"/>
        <v>39.61</v>
      </c>
    </row>
    <row r="8" spans="1:9">
      <c r="A8" s="58"/>
      <c r="B8" s="59"/>
      <c r="C8" s="60"/>
      <c r="D8" s="61"/>
      <c r="E8" s="62"/>
      <c r="F8" s="62"/>
      <c r="G8" s="6" t="s">
        <v>229</v>
      </c>
      <c r="H8" s="7">
        <v>39.9</v>
      </c>
      <c r="I8" s="8">
        <f t="shared" si="0"/>
        <v>39.9</v>
      </c>
    </row>
    <row r="9" spans="1:9">
      <c r="A9" s="58"/>
      <c r="B9" s="59"/>
      <c r="C9" s="60"/>
      <c r="D9" s="61"/>
      <c r="E9" s="62"/>
      <c r="F9" s="62"/>
      <c r="G9" s="6" t="s">
        <v>230</v>
      </c>
      <c r="H9" s="7">
        <v>44.4</v>
      </c>
      <c r="I9" s="8">
        <f t="shared" si="0"/>
        <v>44.4</v>
      </c>
    </row>
    <row r="10" spans="1:9">
      <c r="A10" s="58"/>
      <c r="B10" s="59"/>
      <c r="C10" s="60"/>
      <c r="D10" s="61"/>
      <c r="E10" s="62"/>
      <c r="F10" s="62"/>
      <c r="G10" s="6" t="s">
        <v>185</v>
      </c>
      <c r="H10" s="7">
        <v>44.99</v>
      </c>
      <c r="I10" s="8">
        <f t="shared" si="0"/>
        <v>44.99</v>
      </c>
    </row>
    <row r="11" spans="1:9">
      <c r="A11" s="58"/>
      <c r="B11" s="59"/>
      <c r="C11" s="60"/>
      <c r="D11" s="61"/>
      <c r="E11" s="62"/>
      <c r="F11" s="62"/>
      <c r="G11" s="6" t="s">
        <v>231</v>
      </c>
      <c r="H11" s="7">
        <v>46.2</v>
      </c>
      <c r="I11" s="8">
        <f t="shared" si="0"/>
        <v>46.2</v>
      </c>
    </row>
    <row r="12" spans="1:9">
      <c r="A12" s="58"/>
      <c r="B12" s="59"/>
      <c r="C12" s="60"/>
      <c r="D12" s="61"/>
      <c r="E12" s="62"/>
      <c r="F12" s="62"/>
      <c r="G12" s="6" t="s">
        <v>156</v>
      </c>
      <c r="H12" s="7">
        <v>48.16</v>
      </c>
      <c r="I12" s="8">
        <f t="shared" si="0"/>
        <v>48.16</v>
      </c>
    </row>
    <row r="13" spans="1:9">
      <c r="A13" s="58"/>
      <c r="B13" s="59"/>
      <c r="C13" s="60"/>
      <c r="D13" s="61"/>
      <c r="E13" s="62"/>
      <c r="F13" s="62"/>
      <c r="G13" s="6" t="s">
        <v>232</v>
      </c>
      <c r="H13" s="7">
        <v>56.38</v>
      </c>
      <c r="I13" s="8">
        <f t="shared" si="0"/>
        <v>56.38</v>
      </c>
    </row>
    <row r="14" spans="1:9">
      <c r="A14" s="58"/>
      <c r="B14" s="59"/>
      <c r="C14" s="60"/>
      <c r="D14" s="61"/>
      <c r="E14" s="62"/>
      <c r="F14" s="62"/>
      <c r="G14" s="6" t="s">
        <v>233</v>
      </c>
      <c r="H14" s="7">
        <v>437</v>
      </c>
      <c r="I14" s="8" t="str">
        <f t="shared" si="0"/>
        <v>Descartado</v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114.50825834601274</v>
      </c>
      <c r="B20" s="19">
        <f>COUNT(H3:H17)</f>
        <v>12</v>
      </c>
      <c r="C20" s="20">
        <f>IF(B20&lt;2,"N/A",(A20/D20))</f>
        <v>1.5395033388815911</v>
      </c>
      <c r="D20" s="21">
        <f>ROUND(AVERAGE(H3:H17),2)</f>
        <v>74.38</v>
      </c>
      <c r="E20" s="22">
        <f>IFERROR(ROUND(IF(B20&lt;2,"N/A",(IF(C20&lt;=25%,"N/A",AVERAGE(I3:I17)))),2),"N/A")</f>
        <v>41.42</v>
      </c>
      <c r="F20" s="22">
        <f>ROUND(MEDIAN(H3:H17),2)</f>
        <v>42.15</v>
      </c>
      <c r="G20" s="23" t="str">
        <f>INDEX(G3:G17,MATCH(H20,H3:H17,0))</f>
        <v>GEARA SOLUCOES COMERCIAIS E SERVICOS LTDA</v>
      </c>
      <c r="H20" s="24">
        <f>MIN(H3:H17)</f>
        <v>20.386900000000001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41.42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4142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5" sqref="G15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46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133</v>
      </c>
      <c r="C3" s="60" t="s">
        <v>10</v>
      </c>
      <c r="D3" s="61">
        <v>2000</v>
      </c>
      <c r="E3" s="62">
        <f>IF(C20&lt;=25%,D20,MIN(E20:F20))</f>
        <v>3.21</v>
      </c>
      <c r="F3" s="62">
        <f>MIN(H3:H17)</f>
        <v>0.6</v>
      </c>
      <c r="G3" s="6" t="s">
        <v>176</v>
      </c>
      <c r="H3" s="7">
        <v>0.6</v>
      </c>
      <c r="I3" s="8">
        <f t="shared" ref="I3:I17" si="0">IF(H3="","",(IF($C$20&lt;25%,"N/A",IF(H3&lt;=($D$20+$A$20),H3,"Descartado"))))</f>
        <v>0.6</v>
      </c>
    </row>
    <row r="4" spans="1:9">
      <c r="A4" s="58"/>
      <c r="B4" s="59"/>
      <c r="C4" s="60"/>
      <c r="D4" s="61"/>
      <c r="E4" s="62"/>
      <c r="F4" s="62"/>
      <c r="G4" s="6" t="s">
        <v>161</v>
      </c>
      <c r="H4" s="7">
        <v>1.26</v>
      </c>
      <c r="I4" s="8">
        <f t="shared" si="0"/>
        <v>1.26</v>
      </c>
    </row>
    <row r="5" spans="1:9">
      <c r="A5" s="58"/>
      <c r="B5" s="59"/>
      <c r="C5" s="60"/>
      <c r="D5" s="61"/>
      <c r="E5" s="62"/>
      <c r="F5" s="62"/>
      <c r="G5" s="6" t="s">
        <v>214</v>
      </c>
      <c r="H5" s="7">
        <v>1.78</v>
      </c>
      <c r="I5" s="8">
        <f t="shared" si="0"/>
        <v>1.78</v>
      </c>
    </row>
    <row r="6" spans="1:9">
      <c r="A6" s="58"/>
      <c r="B6" s="59"/>
      <c r="C6" s="60"/>
      <c r="D6" s="61"/>
      <c r="E6" s="62"/>
      <c r="F6" s="62"/>
      <c r="G6" s="6" t="s">
        <v>215</v>
      </c>
      <c r="H6" s="7">
        <v>1.8</v>
      </c>
      <c r="I6" s="8">
        <f t="shared" si="0"/>
        <v>1.8</v>
      </c>
    </row>
    <row r="7" spans="1:9">
      <c r="A7" s="58"/>
      <c r="B7" s="59"/>
      <c r="C7" s="60"/>
      <c r="D7" s="61"/>
      <c r="E7" s="62"/>
      <c r="F7" s="62"/>
      <c r="G7" s="6" t="s">
        <v>216</v>
      </c>
      <c r="H7" s="7">
        <v>1.8399999</v>
      </c>
      <c r="I7" s="8">
        <f t="shared" si="0"/>
        <v>1.8399999</v>
      </c>
    </row>
    <row r="8" spans="1:9">
      <c r="A8" s="58"/>
      <c r="B8" s="59"/>
      <c r="C8" s="60"/>
      <c r="D8" s="61"/>
      <c r="E8" s="62"/>
      <c r="F8" s="62"/>
      <c r="G8" s="6" t="s">
        <v>187</v>
      </c>
      <c r="H8" s="7">
        <v>2.42</v>
      </c>
      <c r="I8" s="8">
        <f t="shared" si="0"/>
        <v>2.42</v>
      </c>
    </row>
    <row r="9" spans="1:9">
      <c r="A9" s="58"/>
      <c r="B9" s="59"/>
      <c r="C9" s="60"/>
      <c r="D9" s="61"/>
      <c r="E9" s="62"/>
      <c r="F9" s="62"/>
      <c r="G9" s="6" t="s">
        <v>217</v>
      </c>
      <c r="H9" s="7">
        <v>4</v>
      </c>
      <c r="I9" s="8">
        <f t="shared" si="0"/>
        <v>4</v>
      </c>
    </row>
    <row r="10" spans="1:9">
      <c r="A10" s="58"/>
      <c r="B10" s="59"/>
      <c r="C10" s="60"/>
      <c r="D10" s="61"/>
      <c r="E10" s="62"/>
      <c r="F10" s="62"/>
      <c r="G10" s="6" t="s">
        <v>218</v>
      </c>
      <c r="H10" s="7">
        <v>4</v>
      </c>
      <c r="I10" s="8">
        <f t="shared" si="0"/>
        <v>4</v>
      </c>
    </row>
    <row r="11" spans="1:9">
      <c r="A11" s="58"/>
      <c r="B11" s="59"/>
      <c r="C11" s="60"/>
      <c r="D11" s="61"/>
      <c r="E11" s="62"/>
      <c r="F11" s="62"/>
      <c r="G11" s="6" t="s">
        <v>219</v>
      </c>
      <c r="H11" s="7">
        <v>5.3158000000000003</v>
      </c>
      <c r="I11" s="8">
        <f t="shared" si="0"/>
        <v>5.3158000000000003</v>
      </c>
    </row>
    <row r="12" spans="1:9">
      <c r="A12" s="58"/>
      <c r="B12" s="59"/>
      <c r="C12" s="60"/>
      <c r="D12" s="61"/>
      <c r="E12" s="62"/>
      <c r="F12" s="62"/>
      <c r="G12" s="6" t="s">
        <v>151</v>
      </c>
      <c r="H12" s="7">
        <v>12.2</v>
      </c>
      <c r="I12" s="8">
        <f t="shared" si="0"/>
        <v>12.2</v>
      </c>
    </row>
    <row r="13" spans="1:9">
      <c r="A13" s="58"/>
      <c r="B13" s="59"/>
      <c r="C13" s="60"/>
      <c r="D13" s="61"/>
      <c r="E13" s="62"/>
      <c r="F13" s="62"/>
      <c r="G13" s="6" t="s">
        <v>220</v>
      </c>
      <c r="H13" s="7">
        <v>24.5</v>
      </c>
      <c r="I13" s="8" t="str">
        <f t="shared" si="0"/>
        <v>Descartado</v>
      </c>
    </row>
    <row r="14" spans="1:9">
      <c r="A14" s="58"/>
      <c r="B14" s="59"/>
      <c r="C14" s="60"/>
      <c r="D14" s="61"/>
      <c r="E14" s="62"/>
      <c r="F14" s="62"/>
      <c r="G14" s="6" t="s">
        <v>221</v>
      </c>
      <c r="H14" s="7">
        <v>48.25</v>
      </c>
      <c r="I14" s="8" t="str">
        <f t="shared" si="0"/>
        <v>Descartado</v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14.089401992604969</v>
      </c>
      <c r="B20" s="19">
        <f>COUNT(H3:H17)</f>
        <v>12</v>
      </c>
      <c r="C20" s="20">
        <f>IF(B20&lt;2,"N/A",(A20/D20))</f>
        <v>1.565489110289441</v>
      </c>
      <c r="D20" s="21">
        <f>ROUND(AVERAGE(H3:H17),2)</f>
        <v>9</v>
      </c>
      <c r="E20" s="22">
        <f>IFERROR(ROUND(IF(B20&lt;2,"N/A",(IF(C20&lt;=25%,"N/A",AVERAGE(I3:I17)))),2),"N/A")</f>
        <v>3.52</v>
      </c>
      <c r="F20" s="22">
        <f>ROUND(MEDIAN(H3:H17),2)</f>
        <v>3.21</v>
      </c>
      <c r="G20" s="23" t="str">
        <f>INDEX(G3:G17,MATCH(H20,H3:H17,0))</f>
        <v>APOGEU COMERCIO E SERVICOS LTDA</v>
      </c>
      <c r="H20" s="24">
        <f>MIN(H3:H17)</f>
        <v>0.6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3.21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6420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7" sqref="G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28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114</v>
      </c>
      <c r="C3" s="60" t="s">
        <v>113</v>
      </c>
      <c r="D3" s="61">
        <v>300</v>
      </c>
      <c r="E3" s="62">
        <f>IF(C20&lt;=25%,D20,MIN(E20:F20))</f>
        <v>28.15</v>
      </c>
      <c r="F3" s="62">
        <f>MIN(H3:H17)</f>
        <v>23.47</v>
      </c>
      <c r="G3" s="6" t="s">
        <v>139</v>
      </c>
      <c r="H3" s="7">
        <v>23.47</v>
      </c>
      <c r="I3" s="8" t="str">
        <f t="shared" ref="I3:I17" si="0">IF(H3="","",(IF($C$20&lt;25%,"N/A",IF(H3&lt;=($D$20+$A$20),H3,"Descartado"))))</f>
        <v>N/A</v>
      </c>
    </row>
    <row r="4" spans="1:9">
      <c r="A4" s="58"/>
      <c r="B4" s="59"/>
      <c r="C4" s="60"/>
      <c r="D4" s="61"/>
      <c r="E4" s="62"/>
      <c r="F4" s="62"/>
      <c r="G4" s="6" t="s">
        <v>140</v>
      </c>
      <c r="H4" s="7">
        <v>25</v>
      </c>
      <c r="I4" s="8" t="str">
        <f t="shared" si="0"/>
        <v>N/A</v>
      </c>
    </row>
    <row r="5" spans="1:9">
      <c r="A5" s="58"/>
      <c r="B5" s="59"/>
      <c r="C5" s="60"/>
      <c r="D5" s="61"/>
      <c r="E5" s="62"/>
      <c r="F5" s="62"/>
      <c r="G5" s="6" t="s">
        <v>141</v>
      </c>
      <c r="H5" s="7">
        <v>26.14</v>
      </c>
      <c r="I5" s="8" t="str">
        <f t="shared" si="0"/>
        <v>N/A</v>
      </c>
    </row>
    <row r="6" spans="1:9">
      <c r="A6" s="58"/>
      <c r="B6" s="59"/>
      <c r="C6" s="60"/>
      <c r="D6" s="61"/>
      <c r="E6" s="62"/>
      <c r="F6" s="62"/>
      <c r="G6" s="6" t="s">
        <v>142</v>
      </c>
      <c r="H6" s="7">
        <v>38</v>
      </c>
      <c r="I6" s="8" t="str">
        <f t="shared" si="0"/>
        <v>N/A</v>
      </c>
    </row>
    <row r="7" spans="1:9">
      <c r="A7" s="58"/>
      <c r="B7" s="59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8"/>
      <c r="B8" s="59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8"/>
      <c r="B9" s="59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6.6555108744558442</v>
      </c>
      <c r="B20" s="19">
        <f>COUNT(H3:H17)</f>
        <v>4</v>
      </c>
      <c r="C20" s="20">
        <f>IF(B20&lt;2,"N/A",(A20/D20))</f>
        <v>0.23643022644603356</v>
      </c>
      <c r="D20" s="21">
        <f>ROUND(AVERAGE(H3:H17),2)</f>
        <v>28.15</v>
      </c>
      <c r="E20" s="22" t="str">
        <f>IFERROR(ROUND(IF(B20&lt;2,"N/A",(IF(C20&lt;=25%,"N/A",AVERAGE(I3:I17)))),2),"N/A")</f>
        <v>N/A</v>
      </c>
      <c r="F20" s="22">
        <f>ROUND(MEDIAN(H3:H17),2)</f>
        <v>25.57</v>
      </c>
      <c r="G20" s="23" t="str">
        <f>INDEX(G3:G17,MATCH(H20,H3:H17,0))</f>
        <v>A. NETO DOS SANTOS</v>
      </c>
      <c r="H20" s="24">
        <f>MIN(H3:H17)</f>
        <v>23.47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28.15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8445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1" sqref="G11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47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134</v>
      </c>
      <c r="C3" s="60" t="s">
        <v>10</v>
      </c>
      <c r="D3" s="61">
        <v>5</v>
      </c>
      <c r="E3" s="62">
        <f>IF(C20&lt;=25%,D20,MIN(E20:F20))</f>
        <v>12</v>
      </c>
      <c r="F3" s="62">
        <f>MIN(H3:H17)</f>
        <v>8</v>
      </c>
      <c r="G3" s="6" t="s">
        <v>194</v>
      </c>
      <c r="H3" s="7">
        <v>8</v>
      </c>
      <c r="I3" s="8">
        <f t="shared" ref="I3:I17" si="0">IF(H3="","",(IF($C$20&lt;25%,"N/A",IF(H3&lt;=($D$20+$A$20),H3,"Descartado"))))</f>
        <v>8</v>
      </c>
    </row>
    <row r="4" spans="1:9">
      <c r="A4" s="58"/>
      <c r="B4" s="59"/>
      <c r="C4" s="60"/>
      <c r="D4" s="61"/>
      <c r="E4" s="62"/>
      <c r="F4" s="62"/>
      <c r="G4" s="6" t="s">
        <v>195</v>
      </c>
      <c r="H4" s="7">
        <v>8.8000000000000007</v>
      </c>
      <c r="I4" s="8">
        <f t="shared" si="0"/>
        <v>8.8000000000000007</v>
      </c>
    </row>
    <row r="5" spans="1:9">
      <c r="A5" s="58"/>
      <c r="B5" s="59"/>
      <c r="C5" s="60"/>
      <c r="D5" s="61"/>
      <c r="E5" s="62"/>
      <c r="F5" s="62"/>
      <c r="G5" s="6" t="s">
        <v>196</v>
      </c>
      <c r="H5" s="7">
        <v>9</v>
      </c>
      <c r="I5" s="8">
        <f t="shared" si="0"/>
        <v>9</v>
      </c>
    </row>
    <row r="6" spans="1:9">
      <c r="A6" s="58"/>
      <c r="B6" s="59"/>
      <c r="C6" s="60"/>
      <c r="D6" s="61"/>
      <c r="E6" s="62"/>
      <c r="F6" s="62"/>
      <c r="G6" s="6" t="s">
        <v>195</v>
      </c>
      <c r="H6" s="7">
        <v>13.2</v>
      </c>
      <c r="I6" s="8">
        <f t="shared" si="0"/>
        <v>13.2</v>
      </c>
    </row>
    <row r="7" spans="1:9">
      <c r="A7" s="58"/>
      <c r="B7" s="59"/>
      <c r="C7" s="60"/>
      <c r="D7" s="61"/>
      <c r="E7" s="62"/>
      <c r="F7" s="62"/>
      <c r="G7" s="6" t="s">
        <v>197</v>
      </c>
      <c r="H7" s="7">
        <v>16.5</v>
      </c>
      <c r="I7" s="8">
        <f t="shared" si="0"/>
        <v>16.5</v>
      </c>
    </row>
    <row r="8" spans="1:9">
      <c r="A8" s="58"/>
      <c r="B8" s="59"/>
      <c r="C8" s="60"/>
      <c r="D8" s="61"/>
      <c r="E8" s="62"/>
      <c r="F8" s="62"/>
      <c r="G8" s="6" t="s">
        <v>198</v>
      </c>
      <c r="H8" s="7">
        <v>16.52</v>
      </c>
      <c r="I8" s="8">
        <f t="shared" si="0"/>
        <v>16.52</v>
      </c>
    </row>
    <row r="9" spans="1:9">
      <c r="A9" s="58"/>
      <c r="B9" s="59"/>
      <c r="C9" s="60"/>
      <c r="D9" s="61"/>
      <c r="E9" s="62"/>
      <c r="F9" s="62"/>
      <c r="G9" s="6" t="s">
        <v>199</v>
      </c>
      <c r="H9" s="7">
        <v>25</v>
      </c>
      <c r="I9" s="8" t="str">
        <f t="shared" si="0"/>
        <v>Descartado</v>
      </c>
    </row>
    <row r="10" spans="1:9">
      <c r="A10" s="58"/>
      <c r="B10" s="59"/>
      <c r="C10" s="60"/>
      <c r="D10" s="61"/>
      <c r="E10" s="62"/>
      <c r="F10" s="62"/>
      <c r="G10" s="6" t="s">
        <v>200</v>
      </c>
      <c r="H10" s="7">
        <v>27.95</v>
      </c>
      <c r="I10" s="8" t="str">
        <f t="shared" si="0"/>
        <v>Descartado</v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7.5200236274324874</v>
      </c>
      <c r="B20" s="19">
        <f>COUNT(H3:H17)</f>
        <v>8</v>
      </c>
      <c r="C20" s="20">
        <f>IF(B20&lt;2,"N/A",(A20/D20))</f>
        <v>0.48143557153857158</v>
      </c>
      <c r="D20" s="21">
        <f>ROUND(AVERAGE(H3:H17),2)</f>
        <v>15.62</v>
      </c>
      <c r="E20" s="22">
        <f>IFERROR(ROUND(IF(B20&lt;2,"N/A",(IF(C20&lt;=25%,"N/A",AVERAGE(I3:I17)))),2),"N/A")</f>
        <v>12</v>
      </c>
      <c r="F20" s="22">
        <f>ROUND(MEDIAN(H3:H17),2)</f>
        <v>14.85</v>
      </c>
      <c r="G20" s="23" t="str">
        <f>INDEX(G3:G17,MATCH(H20,H3:H17,0))</f>
        <v>FRANCINALDO PEREIRA DE ARAUJO 01116162393</v>
      </c>
      <c r="H20" s="24">
        <f>MIN(H3:H17)</f>
        <v>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12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60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18" sqref="D1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48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135</v>
      </c>
      <c r="C3" s="60" t="s">
        <v>10</v>
      </c>
      <c r="D3" s="61">
        <v>35337</v>
      </c>
      <c r="E3" s="62">
        <f>IF(C20&lt;=25%,D20,MIN(E20:F20))</f>
        <v>0.91</v>
      </c>
      <c r="F3" s="62">
        <f>MIN(H3:H17)</f>
        <v>0.67</v>
      </c>
      <c r="G3" s="6" t="s">
        <v>205</v>
      </c>
      <c r="H3" s="7">
        <v>0.67</v>
      </c>
      <c r="I3" s="8" t="str">
        <f t="shared" ref="I3:I17" si="0">IF(H3="","",(IF($C$20&lt;25%,"N/A",IF(H3&lt;=($D$20+$A$20),H3,"Descartado"))))</f>
        <v>N/A</v>
      </c>
    </row>
    <row r="4" spans="1:9">
      <c r="A4" s="58"/>
      <c r="B4" s="59"/>
      <c r="C4" s="60"/>
      <c r="D4" s="61"/>
      <c r="E4" s="62"/>
      <c r="F4" s="62"/>
      <c r="G4" s="6" t="s">
        <v>206</v>
      </c>
      <c r="H4" s="7">
        <v>0.79</v>
      </c>
      <c r="I4" s="8" t="str">
        <f t="shared" si="0"/>
        <v>N/A</v>
      </c>
    </row>
    <row r="5" spans="1:9">
      <c r="A5" s="58"/>
      <c r="B5" s="59"/>
      <c r="C5" s="60"/>
      <c r="D5" s="61"/>
      <c r="E5" s="62"/>
      <c r="F5" s="62"/>
      <c r="G5" s="6" t="s">
        <v>207</v>
      </c>
      <c r="H5" s="7">
        <v>0.85</v>
      </c>
      <c r="I5" s="8" t="str">
        <f t="shared" si="0"/>
        <v>N/A</v>
      </c>
    </row>
    <row r="6" spans="1:9">
      <c r="A6" s="58"/>
      <c r="B6" s="59"/>
      <c r="C6" s="60"/>
      <c r="D6" s="61"/>
      <c r="E6" s="62"/>
      <c r="F6" s="62"/>
      <c r="G6" s="6" t="s">
        <v>208</v>
      </c>
      <c r="H6" s="7">
        <v>0.97929999999999995</v>
      </c>
      <c r="I6" s="8" t="str">
        <f t="shared" si="0"/>
        <v>N/A</v>
      </c>
    </row>
    <row r="7" spans="1:9">
      <c r="A7" s="58"/>
      <c r="B7" s="59"/>
      <c r="C7" s="60"/>
      <c r="D7" s="61"/>
      <c r="E7" s="62"/>
      <c r="F7" s="62"/>
      <c r="G7" s="6" t="s">
        <v>209</v>
      </c>
      <c r="H7" s="7">
        <v>0.98</v>
      </c>
      <c r="I7" s="8" t="str">
        <f t="shared" si="0"/>
        <v>N/A</v>
      </c>
    </row>
    <row r="8" spans="1:9">
      <c r="A8" s="58"/>
      <c r="B8" s="59"/>
      <c r="C8" s="60"/>
      <c r="D8" s="61"/>
      <c r="E8" s="62"/>
      <c r="F8" s="62"/>
      <c r="G8" s="6" t="s">
        <v>173</v>
      </c>
      <c r="H8" s="7">
        <v>1.2</v>
      </c>
      <c r="I8" s="8" t="str">
        <f t="shared" si="0"/>
        <v>N/A</v>
      </c>
    </row>
    <row r="9" spans="1:9">
      <c r="A9" s="58"/>
      <c r="B9" s="59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0.18405872704112702</v>
      </c>
      <c r="B20" s="19">
        <f>COUNT(H3:H17)</f>
        <v>6</v>
      </c>
      <c r="C20" s="20">
        <f>IF(B20&lt;2,"N/A",(A20/D20))</f>
        <v>0.20226233740783189</v>
      </c>
      <c r="D20" s="21">
        <f>ROUND(AVERAGE(H3:H17),2)</f>
        <v>0.91</v>
      </c>
      <c r="E20" s="22" t="str">
        <f>IFERROR(ROUND(IF(B20&lt;2,"N/A",(IF(C20&lt;=25%,"N/A",AVERAGE(I3:I17)))),2),"N/A")</f>
        <v>N/A</v>
      </c>
      <c r="F20" s="22">
        <f>ROUND(MEDIAN(H3:H17),2)</f>
        <v>0.91</v>
      </c>
      <c r="G20" s="23" t="str">
        <f>INDEX(G3:G17,MATCH(H20,H3:H17,0))</f>
        <v>GRITZ COMERCIO DE BRINDES E EMBALAGENS - EIRELI</v>
      </c>
      <c r="H20" s="24">
        <f>MIN(H3:H17)</f>
        <v>0.67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0.91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32156.670000000002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4" sqref="G14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49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136</v>
      </c>
      <c r="C3" s="60" t="s">
        <v>10</v>
      </c>
      <c r="D3" s="61">
        <v>100000</v>
      </c>
      <c r="E3" s="62">
        <f>IF(C20&lt;=25%,D20,MIN(E20:F20))</f>
        <v>0.46</v>
      </c>
      <c r="F3" s="62">
        <f>MIN(H3:H17)</f>
        <v>0.25</v>
      </c>
      <c r="G3" s="6" t="s">
        <v>187</v>
      </c>
      <c r="H3" s="7">
        <v>0.25</v>
      </c>
      <c r="I3" s="8">
        <f t="shared" ref="I3:I17" si="0">IF(H3="","",(IF($C$20&lt;25%,"N/A",IF(H3&lt;=($D$20+$A$20),H3,"Descartado"))))</f>
        <v>0.25</v>
      </c>
    </row>
    <row r="4" spans="1:9">
      <c r="A4" s="58"/>
      <c r="B4" s="59"/>
      <c r="C4" s="60"/>
      <c r="D4" s="61"/>
      <c r="E4" s="62"/>
      <c r="F4" s="62"/>
      <c r="G4" s="6" t="s">
        <v>188</v>
      </c>
      <c r="H4" s="7">
        <v>0.3</v>
      </c>
      <c r="I4" s="8">
        <f t="shared" si="0"/>
        <v>0.3</v>
      </c>
    </row>
    <row r="5" spans="1:9">
      <c r="A5" s="58"/>
      <c r="B5" s="59"/>
      <c r="C5" s="60"/>
      <c r="D5" s="61"/>
      <c r="E5" s="62"/>
      <c r="F5" s="62"/>
      <c r="G5" s="6" t="s">
        <v>189</v>
      </c>
      <c r="H5" s="7">
        <v>0.33</v>
      </c>
      <c r="I5" s="8">
        <f t="shared" si="0"/>
        <v>0.33</v>
      </c>
    </row>
    <row r="6" spans="1:9">
      <c r="A6" s="58"/>
      <c r="B6" s="59"/>
      <c r="C6" s="60"/>
      <c r="D6" s="61"/>
      <c r="E6" s="62"/>
      <c r="F6" s="62"/>
      <c r="G6" s="6" t="s">
        <v>168</v>
      </c>
      <c r="H6" s="7">
        <v>0.37</v>
      </c>
      <c r="I6" s="8">
        <f t="shared" si="0"/>
        <v>0.37</v>
      </c>
    </row>
    <row r="7" spans="1:9">
      <c r="A7" s="58"/>
      <c r="B7" s="59"/>
      <c r="C7" s="60"/>
      <c r="D7" s="61"/>
      <c r="E7" s="62"/>
      <c r="F7" s="62"/>
      <c r="G7" s="6" t="s">
        <v>149</v>
      </c>
      <c r="H7" s="7">
        <v>0.38</v>
      </c>
      <c r="I7" s="8">
        <f t="shared" si="0"/>
        <v>0.38</v>
      </c>
    </row>
    <row r="8" spans="1:9">
      <c r="A8" s="58"/>
      <c r="B8" s="59"/>
      <c r="C8" s="60"/>
      <c r="D8" s="61"/>
      <c r="E8" s="62"/>
      <c r="F8" s="62"/>
      <c r="G8" s="6" t="s">
        <v>190</v>
      </c>
      <c r="H8" s="7">
        <v>0.46</v>
      </c>
      <c r="I8" s="8">
        <f t="shared" si="0"/>
        <v>0.46</v>
      </c>
    </row>
    <row r="9" spans="1:9">
      <c r="A9" s="58"/>
      <c r="B9" s="59"/>
      <c r="C9" s="60"/>
      <c r="D9" s="61"/>
      <c r="E9" s="62"/>
      <c r="F9" s="62"/>
      <c r="G9" s="6" t="s">
        <v>191</v>
      </c>
      <c r="H9" s="7">
        <v>0.47</v>
      </c>
      <c r="I9" s="8">
        <f t="shared" si="0"/>
        <v>0.47</v>
      </c>
    </row>
    <row r="10" spans="1:9">
      <c r="A10" s="58"/>
      <c r="B10" s="59"/>
      <c r="C10" s="60"/>
      <c r="D10" s="61"/>
      <c r="E10" s="62"/>
      <c r="F10" s="62"/>
      <c r="G10" s="6" t="s">
        <v>192</v>
      </c>
      <c r="H10" s="7">
        <v>0.57999999999999996</v>
      </c>
      <c r="I10" s="8">
        <f t="shared" si="0"/>
        <v>0.57999999999999996</v>
      </c>
    </row>
    <row r="11" spans="1:9">
      <c r="A11" s="58"/>
      <c r="B11" s="59"/>
      <c r="C11" s="60"/>
      <c r="D11" s="61"/>
      <c r="E11" s="62"/>
      <c r="F11" s="62"/>
      <c r="G11" s="6" t="s">
        <v>163</v>
      </c>
      <c r="H11" s="7">
        <v>0.75</v>
      </c>
      <c r="I11" s="8">
        <f t="shared" si="0"/>
        <v>0.75</v>
      </c>
    </row>
    <row r="12" spans="1:9">
      <c r="A12" s="58"/>
      <c r="B12" s="59"/>
      <c r="C12" s="60"/>
      <c r="D12" s="61"/>
      <c r="E12" s="62"/>
      <c r="F12" s="62"/>
      <c r="G12" s="6" t="s">
        <v>193</v>
      </c>
      <c r="H12" s="7">
        <v>1.25</v>
      </c>
      <c r="I12" s="8">
        <f t="shared" si="0"/>
        <v>1.25</v>
      </c>
    </row>
    <row r="13" spans="1:9">
      <c r="A13" s="58"/>
      <c r="B13" s="59"/>
      <c r="C13" s="60"/>
      <c r="D13" s="61"/>
      <c r="E13" s="62"/>
      <c r="F13" s="62"/>
      <c r="G13" s="6" t="s">
        <v>166</v>
      </c>
      <c r="H13" s="7">
        <v>35.99</v>
      </c>
      <c r="I13" s="8" t="str">
        <f t="shared" si="0"/>
        <v>Descartado</v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10.700130330557151</v>
      </c>
      <c r="B20" s="19">
        <f>COUNT(H3:H17)</f>
        <v>11</v>
      </c>
      <c r="C20" s="20">
        <f>IF(B20&lt;2,"N/A",(A20/D20))</f>
        <v>2.8609974145874735</v>
      </c>
      <c r="D20" s="21">
        <f>ROUND(AVERAGE(H3:H17),2)</f>
        <v>3.74</v>
      </c>
      <c r="E20" s="22">
        <f>IFERROR(ROUND(IF(B20&lt;2,"N/A",(IF(C20&lt;=25%,"N/A",AVERAGE(I3:I17)))),2),"N/A")</f>
        <v>0.51</v>
      </c>
      <c r="F20" s="22">
        <f>ROUND(MEDIAN(H3:H17),2)</f>
        <v>0.46</v>
      </c>
      <c r="G20" s="23" t="str">
        <f>INDEX(G3:G17,MATCH(H20,H3:H17,0))</f>
        <v>BOING COMERCIO ATACADISTA DE MATERIAIS LTDA</v>
      </c>
      <c r="H20" s="24">
        <f>MIN(H3:H17)</f>
        <v>0.25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0.46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46000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1" sqref="G11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50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137</v>
      </c>
      <c r="C3" s="60" t="s">
        <v>10</v>
      </c>
      <c r="D3" s="61">
        <v>50000</v>
      </c>
      <c r="E3" s="62">
        <f>IF(C20&lt;=25%,D20,MIN(E20:F20))</f>
        <v>0.54</v>
      </c>
      <c r="F3" s="62">
        <f>MIN(H3:H17)</f>
        <v>0.17</v>
      </c>
      <c r="G3" s="6" t="s">
        <v>169</v>
      </c>
      <c r="H3" s="7">
        <v>0.17</v>
      </c>
      <c r="I3" s="8">
        <f t="shared" ref="I3:I17" si="0">IF(H3="","",(IF($C$20&lt;25%,"N/A",IF(H3&lt;=($D$20+$A$20),H3,"Descartado"))))</f>
        <v>0.17</v>
      </c>
    </row>
    <row r="4" spans="1:9">
      <c r="A4" s="58"/>
      <c r="B4" s="59"/>
      <c r="C4" s="60"/>
      <c r="D4" s="61"/>
      <c r="E4" s="62"/>
      <c r="F4" s="62"/>
      <c r="G4" s="6" t="s">
        <v>181</v>
      </c>
      <c r="H4" s="7">
        <v>0.34</v>
      </c>
      <c r="I4" s="8">
        <f t="shared" si="0"/>
        <v>0.34</v>
      </c>
    </row>
    <row r="5" spans="1:9">
      <c r="A5" s="58"/>
      <c r="B5" s="59"/>
      <c r="C5" s="60"/>
      <c r="D5" s="61"/>
      <c r="E5" s="62"/>
      <c r="F5" s="62"/>
      <c r="G5" s="6" t="s">
        <v>182</v>
      </c>
      <c r="H5" s="7">
        <v>0.54</v>
      </c>
      <c r="I5" s="8">
        <f t="shared" si="0"/>
        <v>0.54</v>
      </c>
    </row>
    <row r="6" spans="1:9">
      <c r="A6" s="58"/>
      <c r="B6" s="59"/>
      <c r="C6" s="60"/>
      <c r="D6" s="61"/>
      <c r="E6" s="62"/>
      <c r="F6" s="62"/>
      <c r="G6" s="6" t="s">
        <v>183</v>
      </c>
      <c r="H6" s="7">
        <v>0.6</v>
      </c>
      <c r="I6" s="8">
        <f t="shared" si="0"/>
        <v>0.6</v>
      </c>
    </row>
    <row r="7" spans="1:9">
      <c r="A7" s="58"/>
      <c r="B7" s="59"/>
      <c r="C7" s="60"/>
      <c r="D7" s="61"/>
      <c r="E7" s="62"/>
      <c r="F7" s="62"/>
      <c r="G7" s="6" t="s">
        <v>184</v>
      </c>
      <c r="H7" s="7">
        <v>0.69</v>
      </c>
      <c r="I7" s="8">
        <f t="shared" si="0"/>
        <v>0.69</v>
      </c>
    </row>
    <row r="8" spans="1:9">
      <c r="A8" s="58"/>
      <c r="B8" s="59"/>
      <c r="C8" s="60"/>
      <c r="D8" s="61"/>
      <c r="E8" s="62"/>
      <c r="F8" s="62"/>
      <c r="G8" s="6" t="s">
        <v>185</v>
      </c>
      <c r="H8" s="7">
        <v>0.7</v>
      </c>
      <c r="I8" s="8">
        <f t="shared" si="0"/>
        <v>0.7</v>
      </c>
    </row>
    <row r="9" spans="1:9">
      <c r="A9" s="58"/>
      <c r="B9" s="59"/>
      <c r="C9" s="60"/>
      <c r="D9" s="61"/>
      <c r="E9" s="62"/>
      <c r="F9" s="62"/>
      <c r="G9" s="6" t="s">
        <v>169</v>
      </c>
      <c r="H9" s="7">
        <v>0.75</v>
      </c>
      <c r="I9" s="8">
        <f t="shared" si="0"/>
        <v>0.75</v>
      </c>
    </row>
    <row r="10" spans="1:9">
      <c r="A10" s="58"/>
      <c r="B10" s="59"/>
      <c r="C10" s="60"/>
      <c r="D10" s="61"/>
      <c r="E10" s="62"/>
      <c r="F10" s="62"/>
      <c r="G10" s="6" t="s">
        <v>186</v>
      </c>
      <c r="H10" s="7">
        <v>4.9399990000000003</v>
      </c>
      <c r="I10" s="8" t="str">
        <f t="shared" si="0"/>
        <v>Descartado</v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1.5676041684458155</v>
      </c>
      <c r="B20" s="19">
        <f>COUNT(H3:H17)</f>
        <v>8</v>
      </c>
      <c r="C20" s="20">
        <f>IF(B20&lt;2,"N/A",(A20/D20))</f>
        <v>1.4381689618768949</v>
      </c>
      <c r="D20" s="21">
        <f>ROUND(AVERAGE(H3:H17),2)</f>
        <v>1.0900000000000001</v>
      </c>
      <c r="E20" s="22">
        <f>IFERROR(ROUND(IF(B20&lt;2,"N/A",(IF(C20&lt;=25%,"N/A",AVERAGE(I3:I17)))),2),"N/A")</f>
        <v>0.54</v>
      </c>
      <c r="F20" s="22">
        <f>ROUND(MEDIAN(H3:H17),2)</f>
        <v>0.65</v>
      </c>
      <c r="G20" s="23" t="str">
        <f>INDEX(G3:G17,MATCH(H20,H3:H17,0))</f>
        <v>VIPE COMERCIAL EIRELI</v>
      </c>
      <c r="H20" s="24">
        <f>MIN(H3:H17)</f>
        <v>0.17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0.54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27000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6" sqref="G6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52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138</v>
      </c>
      <c r="C3" s="60" t="s">
        <v>10</v>
      </c>
      <c r="D3" s="61">
        <v>100000</v>
      </c>
      <c r="E3" s="62">
        <f>IF(C20&lt;=25%,D20,MIN(E20:F20))</f>
        <v>0.24</v>
      </c>
      <c r="F3" s="62">
        <f>MIN(H3:H17)</f>
        <v>0.17</v>
      </c>
      <c r="G3" s="6" t="s">
        <v>250</v>
      </c>
      <c r="H3" s="7">
        <v>0.17</v>
      </c>
      <c r="I3" s="8">
        <f t="shared" ref="I3:I17" si="0">IF(H3="","",(IF($C$20&lt;25%,"N/A",IF(H3&lt;=($D$20+$A$20),H3,"Descartado"))))</f>
        <v>0.17</v>
      </c>
    </row>
    <row r="4" spans="1:9">
      <c r="A4" s="58"/>
      <c r="B4" s="59"/>
      <c r="C4" s="60"/>
      <c r="D4" s="61"/>
      <c r="E4" s="62"/>
      <c r="F4" s="62"/>
      <c r="G4" s="6" t="s">
        <v>183</v>
      </c>
      <c r="H4" s="7">
        <v>0.31</v>
      </c>
      <c r="I4" s="8">
        <f t="shared" si="0"/>
        <v>0.31</v>
      </c>
    </row>
    <row r="5" spans="1:9">
      <c r="A5" s="58"/>
      <c r="B5" s="59"/>
      <c r="C5" s="60"/>
      <c r="D5" s="61"/>
      <c r="E5" s="62"/>
      <c r="F5" s="62"/>
      <c r="G5" s="6" t="s">
        <v>251</v>
      </c>
      <c r="H5" s="7">
        <v>0.5</v>
      </c>
      <c r="I5" s="8" t="str">
        <f t="shared" si="0"/>
        <v>Descartado</v>
      </c>
    </row>
    <row r="6" spans="1:9">
      <c r="A6" s="58"/>
      <c r="B6" s="59"/>
      <c r="C6" s="60"/>
      <c r="D6" s="61"/>
      <c r="E6" s="62"/>
      <c r="F6" s="62"/>
      <c r="G6" s="6"/>
      <c r="H6" s="7"/>
      <c r="I6" s="8" t="str">
        <f t="shared" si="0"/>
        <v/>
      </c>
    </row>
    <row r="7" spans="1:9">
      <c r="A7" s="58"/>
      <c r="B7" s="59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8"/>
      <c r="B8" s="59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8"/>
      <c r="B9" s="59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0.16563010998406461</v>
      </c>
      <c r="B20" s="19">
        <f>COUNT(H3:H17)</f>
        <v>3</v>
      </c>
      <c r="C20" s="20">
        <f>IF(B20&lt;2,"N/A",(A20/D20))</f>
        <v>0.50190942419413509</v>
      </c>
      <c r="D20" s="21">
        <f>ROUND(AVERAGE(H3:H17),2)</f>
        <v>0.33</v>
      </c>
      <c r="E20" s="22">
        <f>IFERROR(ROUND(IF(B20&lt;2,"N/A",(IF(C20&lt;=25%,"N/A",AVERAGE(I3:I17)))),2),"N/A")</f>
        <v>0.24</v>
      </c>
      <c r="F20" s="22">
        <f>ROUND(MEDIAN(H3:H17),2)</f>
        <v>0.31</v>
      </c>
      <c r="G20" s="23" t="str">
        <f>INDEX(G3:G17,MATCH(H20,H3:H17,0))</f>
        <v>AAZ COMERCIAL EIRELI</v>
      </c>
      <c r="H20" s="24">
        <f>MIN(H3:H17)</f>
        <v>0.17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0.24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24000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3" sqref="D3:D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53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112</v>
      </c>
      <c r="C3" s="60" t="s">
        <v>113</v>
      </c>
      <c r="D3" s="61">
        <v>3750</v>
      </c>
      <c r="E3" s="62">
        <f>IF(C20&lt;=25%,D20,MIN(E20:F20))</f>
        <v>28.31</v>
      </c>
      <c r="F3" s="62">
        <f>MIN(H3:H17)</f>
        <v>22</v>
      </c>
      <c r="G3" s="6" t="s">
        <v>154</v>
      </c>
      <c r="H3" s="7">
        <v>22</v>
      </c>
      <c r="I3" s="8" t="str">
        <f t="shared" ref="I3:I17" si="0">IF(H3="","",(IF($C$20&lt;25%,"N/A",IF(H3&lt;=($D$20+$A$20),H3,"Descartado"))))</f>
        <v>N/A</v>
      </c>
    </row>
    <row r="4" spans="1:9">
      <c r="A4" s="58"/>
      <c r="B4" s="59"/>
      <c r="C4" s="60"/>
      <c r="D4" s="61"/>
      <c r="E4" s="62"/>
      <c r="F4" s="62"/>
      <c r="G4" s="6" t="s">
        <v>155</v>
      </c>
      <c r="H4" s="7">
        <v>27.12</v>
      </c>
      <c r="I4" s="8" t="str">
        <f t="shared" si="0"/>
        <v>N/A</v>
      </c>
    </row>
    <row r="5" spans="1:9">
      <c r="A5" s="58"/>
      <c r="B5" s="59"/>
      <c r="C5" s="60"/>
      <c r="D5" s="61"/>
      <c r="E5" s="62"/>
      <c r="F5" s="62"/>
      <c r="G5" s="6" t="s">
        <v>156</v>
      </c>
      <c r="H5" s="7">
        <v>30.1</v>
      </c>
      <c r="I5" s="8" t="str">
        <f t="shared" si="0"/>
        <v>N/A</v>
      </c>
    </row>
    <row r="6" spans="1:9">
      <c r="A6" s="58"/>
      <c r="B6" s="59"/>
      <c r="C6" s="60"/>
      <c r="D6" s="61"/>
      <c r="E6" s="62"/>
      <c r="F6" s="62"/>
      <c r="G6" s="6" t="s">
        <v>157</v>
      </c>
      <c r="H6" s="7">
        <v>34</v>
      </c>
      <c r="I6" s="8" t="str">
        <f t="shared" si="0"/>
        <v>N/A</v>
      </c>
    </row>
    <row r="7" spans="1:9">
      <c r="A7" s="58"/>
      <c r="B7" s="59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8"/>
      <c r="B8" s="59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8"/>
      <c r="B9" s="59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5.0600494068734321</v>
      </c>
      <c r="B20" s="19">
        <f>COUNT(H3:H17)</f>
        <v>4</v>
      </c>
      <c r="C20" s="20">
        <f>IF(B20&lt;2,"N/A",(A20/D20))</f>
        <v>0.1787371743862039</v>
      </c>
      <c r="D20" s="21">
        <f>ROUND(AVERAGE(H3:H17),2)</f>
        <v>28.31</v>
      </c>
      <c r="E20" s="22" t="str">
        <f>IFERROR(ROUND(IF(B20&lt;2,"N/A",(IF(C20&lt;=25%,"N/A",AVERAGE(I3:I17)))),2),"N/A")</f>
        <v>N/A</v>
      </c>
      <c r="F20" s="22">
        <f>ROUND(MEDIAN(H3:H17),2)</f>
        <v>28.61</v>
      </c>
      <c r="G20" s="23" t="str">
        <f>INDEX(G3:G17,MATCH(H20,H3:H17,0))</f>
        <v>MIX PAPELARIA EIRELI</v>
      </c>
      <c r="H20" s="24">
        <f>MIN(H3:H17)</f>
        <v>22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28.31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106162.5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3" sqref="D3:D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54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118</v>
      </c>
      <c r="C3" s="60" t="s">
        <v>117</v>
      </c>
      <c r="D3" s="61">
        <f>6000-Item5!D3</f>
        <v>4500</v>
      </c>
      <c r="E3" s="62">
        <f>IF(C20&lt;=25%,D20,MIN(E20:F20))</f>
        <v>16.54</v>
      </c>
      <c r="F3" s="62">
        <f>MIN(H3:H17)</f>
        <v>13.68</v>
      </c>
      <c r="G3" s="6" t="s">
        <v>11</v>
      </c>
      <c r="H3" s="7">
        <v>14.45</v>
      </c>
      <c r="I3" s="8">
        <f t="shared" ref="I3:I17" si="0">IF(H3="","",(IF($C$20&lt;25%,"N/A",IF(H3&lt;=($D$20+$A$20),H3,"Descartado"))))</f>
        <v>14.45</v>
      </c>
    </row>
    <row r="4" spans="1:9">
      <c r="A4" s="58"/>
      <c r="B4" s="59"/>
      <c r="C4" s="60"/>
      <c r="D4" s="61"/>
      <c r="E4" s="62"/>
      <c r="F4" s="62"/>
      <c r="G4" s="6" t="s">
        <v>255</v>
      </c>
      <c r="H4" s="7">
        <v>27.9</v>
      </c>
      <c r="I4" s="8" t="str">
        <f t="shared" si="0"/>
        <v>Descartado</v>
      </c>
    </row>
    <row r="5" spans="1:9">
      <c r="A5" s="58"/>
      <c r="B5" s="59"/>
      <c r="C5" s="60"/>
      <c r="D5" s="61"/>
      <c r="E5" s="62"/>
      <c r="F5" s="62"/>
      <c r="G5" s="6" t="s">
        <v>254</v>
      </c>
      <c r="H5" s="7">
        <v>13.68</v>
      </c>
      <c r="I5" s="8">
        <f t="shared" si="0"/>
        <v>13.68</v>
      </c>
    </row>
    <row r="6" spans="1:9">
      <c r="A6" s="58"/>
      <c r="B6" s="59"/>
      <c r="C6" s="60"/>
      <c r="D6" s="61"/>
      <c r="E6" s="62"/>
      <c r="F6" s="62"/>
      <c r="G6" s="6" t="s">
        <v>256</v>
      </c>
      <c r="H6" s="7">
        <v>21.5</v>
      </c>
      <c r="I6" s="8">
        <f t="shared" si="0"/>
        <v>21.5</v>
      </c>
    </row>
    <row r="7" spans="1:9">
      <c r="A7" s="58"/>
      <c r="B7" s="59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8"/>
      <c r="B8" s="59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8"/>
      <c r="B9" s="59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6.6803112452439892</v>
      </c>
      <c r="B20" s="19">
        <f>COUNT(H3:H17)</f>
        <v>4</v>
      </c>
      <c r="C20" s="20">
        <f>IF(B20&lt;2,"N/A",(A20/D20))</f>
        <v>0.34470130264416871</v>
      </c>
      <c r="D20" s="21">
        <f>ROUND(AVERAGE(H3:H17),2)</f>
        <v>19.38</v>
      </c>
      <c r="E20" s="22">
        <f>IFERROR(ROUND(IF(B20&lt;2,"N/A",(IF(C20&lt;=25%,"N/A",AVERAGE(I3:I17)))),2),"N/A")</f>
        <v>16.54</v>
      </c>
      <c r="F20" s="22">
        <f>ROUND(MEDIAN(H3:H17),2)</f>
        <v>17.98</v>
      </c>
      <c r="G20" s="23" t="str">
        <f>INDEX(G3:G17,MATCH(H20,H3:H17,0))</f>
        <v>PAPELARIA BLAU</v>
      </c>
      <c r="H20" s="24">
        <f>MIN(H3:H17)</f>
        <v>13.68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16.54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74430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6" sqref="G6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55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123</v>
      </c>
      <c r="C3" s="60" t="s">
        <v>10</v>
      </c>
      <c r="D3" s="61">
        <f>25000-Item10!D3</f>
        <v>18750</v>
      </c>
      <c r="E3" s="62">
        <f>IF(C20&lt;=25%,D20,MIN(E20:F20))</f>
        <v>3.54</v>
      </c>
      <c r="F3" s="62">
        <f>MIN(H3:H17)</f>
        <v>2.8</v>
      </c>
      <c r="G3" s="6" t="s">
        <v>173</v>
      </c>
      <c r="H3" s="7">
        <v>2.8</v>
      </c>
      <c r="I3" s="8">
        <f t="shared" ref="I3:I17" si="0">IF(H3="","",(IF($C$20&lt;25%,"N/A",IF(H3&lt;=($D$20+$A$20),H3,"Descartado"))))</f>
        <v>2.8</v>
      </c>
    </row>
    <row r="4" spans="1:9">
      <c r="A4" s="58"/>
      <c r="B4" s="59"/>
      <c r="C4" s="60"/>
      <c r="D4" s="61"/>
      <c r="E4" s="62"/>
      <c r="F4" s="62"/>
      <c r="G4" s="6" t="s">
        <v>153</v>
      </c>
      <c r="H4" s="7">
        <v>3.59</v>
      </c>
      <c r="I4" s="8">
        <f t="shared" si="0"/>
        <v>3.59</v>
      </c>
    </row>
    <row r="5" spans="1:9">
      <c r="A5" s="58"/>
      <c r="B5" s="59"/>
      <c r="C5" s="60"/>
      <c r="D5" s="61"/>
      <c r="E5" s="62"/>
      <c r="F5" s="62"/>
      <c r="G5" s="6" t="s">
        <v>174</v>
      </c>
      <c r="H5" s="7">
        <v>3.6</v>
      </c>
      <c r="I5" s="8">
        <f t="shared" si="0"/>
        <v>3.6</v>
      </c>
    </row>
    <row r="6" spans="1:9">
      <c r="A6" s="58"/>
      <c r="B6" s="59"/>
      <c r="C6" s="60"/>
      <c r="D6" s="61"/>
      <c r="E6" s="62"/>
      <c r="F6" s="62"/>
      <c r="G6" s="6" t="s">
        <v>175</v>
      </c>
      <c r="H6" s="7">
        <v>3.74</v>
      </c>
      <c r="I6" s="8">
        <f t="shared" si="0"/>
        <v>3.74</v>
      </c>
    </row>
    <row r="7" spans="1:9">
      <c r="A7" s="58"/>
      <c r="B7" s="59"/>
      <c r="C7" s="60"/>
      <c r="D7" s="61"/>
      <c r="E7" s="62"/>
      <c r="F7" s="62"/>
      <c r="G7" s="6" t="s">
        <v>176</v>
      </c>
      <c r="H7" s="7">
        <v>3.99</v>
      </c>
      <c r="I7" s="8">
        <f t="shared" si="0"/>
        <v>3.99</v>
      </c>
    </row>
    <row r="8" spans="1:9">
      <c r="A8" s="58"/>
      <c r="B8" s="59"/>
      <c r="C8" s="60"/>
      <c r="D8" s="61"/>
      <c r="E8" s="62"/>
      <c r="F8" s="62"/>
      <c r="G8" s="6" t="s">
        <v>177</v>
      </c>
      <c r="H8" s="7">
        <v>6.18</v>
      </c>
      <c r="I8" s="8" t="str">
        <f t="shared" si="0"/>
        <v>Descartado</v>
      </c>
    </row>
    <row r="9" spans="1:9">
      <c r="A9" s="58"/>
      <c r="B9" s="59"/>
      <c r="C9" s="60"/>
      <c r="D9" s="61"/>
      <c r="E9" s="62"/>
      <c r="F9" s="62"/>
      <c r="G9" s="6" t="s">
        <v>178</v>
      </c>
      <c r="H9" s="7">
        <v>7.1</v>
      </c>
      <c r="I9" s="8" t="str">
        <f t="shared" si="0"/>
        <v>Descartado</v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1.5765196750165489</v>
      </c>
      <c r="B20" s="19">
        <f>COUNT(H3:H17)</f>
        <v>7</v>
      </c>
      <c r="C20" s="20">
        <f>IF(B20&lt;2,"N/A",(A20/D20))</f>
        <v>0.35587351580509008</v>
      </c>
      <c r="D20" s="21">
        <f>ROUND(AVERAGE(H3:H17),2)</f>
        <v>4.43</v>
      </c>
      <c r="E20" s="22">
        <f>IFERROR(ROUND(IF(B20&lt;2,"N/A",(IF(C20&lt;=25%,"N/A",AVERAGE(I3:I17)))),2),"N/A")</f>
        <v>3.54</v>
      </c>
      <c r="F20" s="22">
        <f>ROUND(MEDIAN(H3:H17),2)</f>
        <v>3.74</v>
      </c>
      <c r="G20" s="23" t="str">
        <f>INDEX(G3:G17,MATCH(H20,H3:H17,0))</f>
        <v>LIVRARIA E PAPELARIA PRATICA LTDA</v>
      </c>
      <c r="H20" s="24">
        <f>MIN(H3:H17)</f>
        <v>2.8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3.54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66375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4" sqref="G4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56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130</v>
      </c>
      <c r="C3" s="60" t="s">
        <v>131</v>
      </c>
      <c r="D3" s="61">
        <f>27500-Item17!D3</f>
        <v>23138</v>
      </c>
      <c r="E3" s="62">
        <f>IF(C20&lt;=25%,D20,MIN(E20:F20))</f>
        <v>18.34</v>
      </c>
      <c r="F3" s="62">
        <f>MIN(H3:H17)</f>
        <v>15.26</v>
      </c>
      <c r="G3" s="6" t="s">
        <v>222</v>
      </c>
      <c r="H3" s="7">
        <v>15.26</v>
      </c>
      <c r="I3" s="8" t="str">
        <f t="shared" ref="I3:I17" si="0">IF(H3="","",(IF($C$20&lt;25%,"N/A",IF(H3&lt;=($D$20+$A$20),H3,"Descartado"))))</f>
        <v>N/A</v>
      </c>
    </row>
    <row r="4" spans="1:9">
      <c r="A4" s="58"/>
      <c r="B4" s="59"/>
      <c r="C4" s="60"/>
      <c r="D4" s="61"/>
      <c r="E4" s="62"/>
      <c r="F4" s="62"/>
      <c r="G4" s="6" t="s">
        <v>223</v>
      </c>
      <c r="H4" s="7">
        <v>15.35</v>
      </c>
      <c r="I4" s="8" t="str">
        <f t="shared" si="0"/>
        <v>N/A</v>
      </c>
    </row>
    <row r="5" spans="1:9">
      <c r="A5" s="58"/>
      <c r="B5" s="59"/>
      <c r="C5" s="60"/>
      <c r="D5" s="61"/>
      <c r="E5" s="62"/>
      <c r="F5" s="62"/>
      <c r="G5" s="6" t="s">
        <v>224</v>
      </c>
      <c r="H5" s="7">
        <v>16.68</v>
      </c>
      <c r="I5" s="8" t="str">
        <f t="shared" si="0"/>
        <v>N/A</v>
      </c>
    </row>
    <row r="6" spans="1:9">
      <c r="A6" s="58"/>
      <c r="B6" s="59"/>
      <c r="C6" s="60"/>
      <c r="D6" s="61"/>
      <c r="E6" s="62"/>
      <c r="F6" s="62"/>
      <c r="G6" s="6" t="s">
        <v>225</v>
      </c>
      <c r="H6" s="7">
        <v>18.899999999999999</v>
      </c>
      <c r="I6" s="8" t="str">
        <f t="shared" si="0"/>
        <v>N/A</v>
      </c>
    </row>
    <row r="7" spans="1:9">
      <c r="A7" s="58"/>
      <c r="B7" s="59"/>
      <c r="C7" s="60"/>
      <c r="D7" s="61"/>
      <c r="E7" s="62"/>
      <c r="F7" s="62"/>
      <c r="G7" s="6" t="s">
        <v>226</v>
      </c>
      <c r="H7" s="7">
        <v>21.85</v>
      </c>
      <c r="I7" s="8" t="str">
        <f t="shared" si="0"/>
        <v>N/A</v>
      </c>
    </row>
    <row r="8" spans="1:9">
      <c r="A8" s="58"/>
      <c r="B8" s="59"/>
      <c r="C8" s="60"/>
      <c r="D8" s="61"/>
      <c r="E8" s="62"/>
      <c r="F8" s="62"/>
      <c r="G8" s="6" t="s">
        <v>163</v>
      </c>
      <c r="H8" s="7">
        <v>22</v>
      </c>
      <c r="I8" s="8" t="str">
        <f t="shared" si="0"/>
        <v>N/A</v>
      </c>
    </row>
    <row r="9" spans="1:9">
      <c r="A9" s="58"/>
      <c r="B9" s="59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3.0728293151426542</v>
      </c>
      <c r="B20" s="19">
        <f>COUNT(H3:H17)</f>
        <v>6</v>
      </c>
      <c r="C20" s="20">
        <f>IF(B20&lt;2,"N/A",(A20/D20))</f>
        <v>0.16754794520952312</v>
      </c>
      <c r="D20" s="21">
        <f>ROUND(AVERAGE(H3:H17),2)</f>
        <v>18.34</v>
      </c>
      <c r="E20" s="22" t="str">
        <f>IFERROR(ROUND(IF(B20&lt;2,"N/A",(IF(C20&lt;=25%,"N/A",AVERAGE(I3:I17)))),2),"N/A")</f>
        <v>N/A</v>
      </c>
      <c r="F20" s="22">
        <f>ROUND(MEDIAN(H3:H17),2)</f>
        <v>17.79</v>
      </c>
      <c r="G20" s="23" t="str">
        <f>INDEX(G3:G17,MATCH(H20,H3:H17,0))</f>
        <v>RADIOMED MATERIAIS E SERVICOS LTDA</v>
      </c>
      <c r="H20" s="24">
        <f>MIN(H3:H17)</f>
        <v>15.26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18.34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424350.92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3" sqref="G3:H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57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135</v>
      </c>
      <c r="C3" s="60" t="s">
        <v>10</v>
      </c>
      <c r="D3" s="61">
        <f>141349-Item21!D3</f>
        <v>106012</v>
      </c>
      <c r="E3" s="62">
        <f>IF(C20&lt;=25%,D20,MIN(E20:F20))</f>
        <v>0.91</v>
      </c>
      <c r="F3" s="62">
        <f>MIN(H3:H17)</f>
        <v>0.67</v>
      </c>
      <c r="G3" s="6" t="s">
        <v>205</v>
      </c>
      <c r="H3" s="7">
        <v>0.67</v>
      </c>
      <c r="I3" s="8" t="str">
        <f t="shared" ref="I3:I17" si="0">IF(H3="","",(IF($C$20&lt;25%,"N/A",IF(H3&lt;=($D$20+$A$20),H3,"Descartado"))))</f>
        <v>N/A</v>
      </c>
    </row>
    <row r="4" spans="1:9">
      <c r="A4" s="58"/>
      <c r="B4" s="59"/>
      <c r="C4" s="60"/>
      <c r="D4" s="61"/>
      <c r="E4" s="62"/>
      <c r="F4" s="62"/>
      <c r="G4" s="6" t="s">
        <v>206</v>
      </c>
      <c r="H4" s="7">
        <v>0.79</v>
      </c>
      <c r="I4" s="8" t="str">
        <f t="shared" si="0"/>
        <v>N/A</v>
      </c>
    </row>
    <row r="5" spans="1:9">
      <c r="A5" s="58"/>
      <c r="B5" s="59"/>
      <c r="C5" s="60"/>
      <c r="D5" s="61"/>
      <c r="E5" s="62"/>
      <c r="F5" s="62"/>
      <c r="G5" s="6" t="s">
        <v>207</v>
      </c>
      <c r="H5" s="7">
        <v>0.85</v>
      </c>
      <c r="I5" s="8" t="str">
        <f t="shared" si="0"/>
        <v>N/A</v>
      </c>
    </row>
    <row r="6" spans="1:9">
      <c r="A6" s="58"/>
      <c r="B6" s="59"/>
      <c r="C6" s="60"/>
      <c r="D6" s="61"/>
      <c r="E6" s="62"/>
      <c r="F6" s="62"/>
      <c r="G6" s="6" t="s">
        <v>208</v>
      </c>
      <c r="H6" s="7">
        <v>0.97929999999999995</v>
      </c>
      <c r="I6" s="8" t="str">
        <f t="shared" si="0"/>
        <v>N/A</v>
      </c>
    </row>
    <row r="7" spans="1:9">
      <c r="A7" s="58"/>
      <c r="B7" s="59"/>
      <c r="C7" s="60"/>
      <c r="D7" s="61"/>
      <c r="E7" s="62"/>
      <c r="F7" s="62"/>
      <c r="G7" s="6" t="s">
        <v>209</v>
      </c>
      <c r="H7" s="7">
        <v>0.98</v>
      </c>
      <c r="I7" s="8" t="str">
        <f t="shared" si="0"/>
        <v>N/A</v>
      </c>
    </row>
    <row r="8" spans="1:9">
      <c r="A8" s="58"/>
      <c r="B8" s="59"/>
      <c r="C8" s="60"/>
      <c r="D8" s="61"/>
      <c r="E8" s="62"/>
      <c r="F8" s="62"/>
      <c r="G8" s="6" t="s">
        <v>173</v>
      </c>
      <c r="H8" s="7">
        <v>1.2</v>
      </c>
      <c r="I8" s="8" t="str">
        <f t="shared" si="0"/>
        <v>N/A</v>
      </c>
    </row>
    <row r="9" spans="1:9">
      <c r="A9" s="58"/>
      <c r="B9" s="59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0.18405872704112702</v>
      </c>
      <c r="B20" s="19">
        <f>COUNT(H3:H17)</f>
        <v>6</v>
      </c>
      <c r="C20" s="20">
        <f>IF(B20&lt;2,"N/A",(A20/D20))</f>
        <v>0.20226233740783189</v>
      </c>
      <c r="D20" s="21">
        <f>ROUND(AVERAGE(H3:H17),2)</f>
        <v>0.91</v>
      </c>
      <c r="E20" s="22" t="str">
        <f>IFERROR(ROUND(IF(B20&lt;2,"N/A",(IF(C20&lt;=25%,"N/A",AVERAGE(I3:I17)))),2),"N/A")</f>
        <v>N/A</v>
      </c>
      <c r="F20" s="22">
        <f>ROUND(MEDIAN(H3:H17),2)</f>
        <v>0.91</v>
      </c>
      <c r="G20" s="23" t="str">
        <f>INDEX(G3:G17,MATCH(H20,H3:H17,0))</f>
        <v>GRITZ COMERCIO DE BRINDES E EMBALAGENS - EIRELI</v>
      </c>
      <c r="H20" s="24">
        <f>MIN(H3:H17)</f>
        <v>0.67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0.91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96470.92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30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115</v>
      </c>
      <c r="C3" s="60" t="s">
        <v>113</v>
      </c>
      <c r="D3" s="61">
        <v>10</v>
      </c>
      <c r="E3" s="62">
        <f>IF(C20&lt;=25%,D20,MIN(E20:F20))</f>
        <v>28.49</v>
      </c>
      <c r="F3" s="62">
        <f>MIN(H3:H17)</f>
        <v>22.65</v>
      </c>
      <c r="G3" s="6" t="s">
        <v>161</v>
      </c>
      <c r="H3" s="7">
        <v>22.65</v>
      </c>
      <c r="I3" s="8">
        <f t="shared" ref="I3:I17" si="0">IF(H3="","",(IF($C$20&lt;25%,"N/A",IF(H3&lt;=($D$20+$A$20),H3,"Descartado"))))</f>
        <v>22.65</v>
      </c>
    </row>
    <row r="4" spans="1:9">
      <c r="A4" s="58"/>
      <c r="B4" s="59"/>
      <c r="C4" s="60"/>
      <c r="D4" s="61"/>
      <c r="E4" s="62"/>
      <c r="F4" s="62"/>
      <c r="G4" s="6" t="s">
        <v>162</v>
      </c>
      <c r="H4" s="7">
        <v>25.9</v>
      </c>
      <c r="I4" s="8">
        <f t="shared" si="0"/>
        <v>25.9</v>
      </c>
    </row>
    <row r="5" spans="1:9">
      <c r="A5" s="58"/>
      <c r="B5" s="59"/>
      <c r="C5" s="60"/>
      <c r="D5" s="61"/>
      <c r="E5" s="62"/>
      <c r="F5" s="62"/>
      <c r="G5" s="6" t="s">
        <v>154</v>
      </c>
      <c r="H5" s="7">
        <v>26.2</v>
      </c>
      <c r="I5" s="8">
        <f t="shared" si="0"/>
        <v>26.2</v>
      </c>
    </row>
    <row r="6" spans="1:9">
      <c r="A6" s="58"/>
      <c r="B6" s="59"/>
      <c r="C6" s="60"/>
      <c r="D6" s="61"/>
      <c r="E6" s="62"/>
      <c r="F6" s="62"/>
      <c r="G6" s="6" t="s">
        <v>155</v>
      </c>
      <c r="H6" s="7">
        <v>27.12</v>
      </c>
      <c r="I6" s="8">
        <f t="shared" si="0"/>
        <v>27.12</v>
      </c>
    </row>
    <row r="7" spans="1:9">
      <c r="A7" s="58"/>
      <c r="B7" s="59"/>
      <c r="C7" s="60"/>
      <c r="D7" s="61"/>
      <c r="E7" s="62"/>
      <c r="F7" s="62"/>
      <c r="G7" s="6" t="s">
        <v>141</v>
      </c>
      <c r="H7" s="7">
        <v>28.49</v>
      </c>
      <c r="I7" s="8">
        <f t="shared" si="0"/>
        <v>28.49</v>
      </c>
    </row>
    <row r="8" spans="1:9">
      <c r="A8" s="58"/>
      <c r="B8" s="59"/>
      <c r="C8" s="60"/>
      <c r="D8" s="61"/>
      <c r="E8" s="62"/>
      <c r="F8" s="62"/>
      <c r="G8" s="6" t="s">
        <v>163</v>
      </c>
      <c r="H8" s="7">
        <v>29</v>
      </c>
      <c r="I8" s="8">
        <f t="shared" si="0"/>
        <v>29</v>
      </c>
    </row>
    <row r="9" spans="1:9">
      <c r="A9" s="58"/>
      <c r="B9" s="59"/>
      <c r="C9" s="60"/>
      <c r="D9" s="61"/>
      <c r="E9" s="62"/>
      <c r="F9" s="62"/>
      <c r="G9" s="6" t="s">
        <v>142</v>
      </c>
      <c r="H9" s="7">
        <v>37.130000000000003</v>
      </c>
      <c r="I9" s="8">
        <f t="shared" si="0"/>
        <v>37.130000000000003</v>
      </c>
    </row>
    <row r="10" spans="1:9">
      <c r="A10" s="58"/>
      <c r="B10" s="59"/>
      <c r="C10" s="60"/>
      <c r="D10" s="61"/>
      <c r="E10" s="62"/>
      <c r="F10" s="62"/>
      <c r="G10" s="6" t="s">
        <v>164</v>
      </c>
      <c r="H10" s="7">
        <v>42.5</v>
      </c>
      <c r="I10" s="8">
        <f t="shared" si="0"/>
        <v>42.5</v>
      </c>
    </row>
    <row r="11" spans="1:9">
      <c r="A11" s="58"/>
      <c r="B11" s="59"/>
      <c r="C11" s="60"/>
      <c r="D11" s="61"/>
      <c r="E11" s="62"/>
      <c r="F11" s="62"/>
      <c r="G11" s="6" t="s">
        <v>165</v>
      </c>
      <c r="H11" s="7">
        <v>62.34</v>
      </c>
      <c r="I11" s="8" t="str">
        <f t="shared" si="0"/>
        <v>Descartado</v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12.453645494838478</v>
      </c>
      <c r="B20" s="19">
        <f>COUNT(H3:H17)</f>
        <v>9</v>
      </c>
      <c r="C20" s="20">
        <f>IF(B20&lt;2,"N/A",(A20/D20))</f>
        <v>0.37197268503101788</v>
      </c>
      <c r="D20" s="21">
        <f>ROUND(AVERAGE(H3:H17),2)</f>
        <v>33.479999999999997</v>
      </c>
      <c r="E20" s="22">
        <f>IFERROR(ROUND(IF(B20&lt;2,"N/A",(IF(C20&lt;=25%,"N/A",AVERAGE(I3:I17)))),2),"N/A")</f>
        <v>29.87</v>
      </c>
      <c r="F20" s="22">
        <f>ROUND(MEDIAN(H3:H17),2)</f>
        <v>28.49</v>
      </c>
      <c r="G20" s="23" t="str">
        <f>INDEX(G3:G17,MATCH(H20,H3:H17,0))</f>
        <v>JVG PROJETOS E CONSTRUCOES EIRELI</v>
      </c>
      <c r="H20" s="24">
        <f>MIN(H3:H17)</f>
        <v>22.65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28.49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284.89999999999998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7" sqref="G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58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59</v>
      </c>
      <c r="C3" s="60" t="s">
        <v>60</v>
      </c>
      <c r="D3" s="61">
        <v>600</v>
      </c>
      <c r="E3" s="62">
        <f>IF(C20&lt;=25%,D20,MIN(E20:F20))</f>
        <v>2.29</v>
      </c>
      <c r="F3" s="62">
        <f>MIN(H3:H17)</f>
        <v>1.51</v>
      </c>
      <c r="G3" s="6" t="s">
        <v>61</v>
      </c>
      <c r="H3" s="7">
        <v>1.51</v>
      </c>
      <c r="I3" s="8">
        <f t="shared" ref="I3:I17" si="0">IF(H3="","",(IF($C$20&lt;25%,"N/A",IF(H3&lt;=($D$20+$A$20),H3,"Descartado"))))</f>
        <v>1.51</v>
      </c>
    </row>
    <row r="4" spans="1:9">
      <c r="A4" s="58"/>
      <c r="B4" s="59"/>
      <c r="C4" s="60"/>
      <c r="D4" s="61"/>
      <c r="E4" s="62"/>
      <c r="F4" s="62"/>
      <c r="G4" s="6" t="s">
        <v>62</v>
      </c>
      <c r="H4" s="7">
        <v>1.9</v>
      </c>
      <c r="I4" s="8">
        <f t="shared" si="0"/>
        <v>1.9</v>
      </c>
    </row>
    <row r="5" spans="1:9">
      <c r="A5" s="58"/>
      <c r="B5" s="59"/>
      <c r="C5" s="60"/>
      <c r="D5" s="61"/>
      <c r="E5" s="62"/>
      <c r="F5" s="62"/>
      <c r="G5" s="6" t="s">
        <v>63</v>
      </c>
      <c r="H5" s="7">
        <v>2</v>
      </c>
      <c r="I5" s="8">
        <f t="shared" si="0"/>
        <v>2</v>
      </c>
    </row>
    <row r="6" spans="1:9">
      <c r="A6" s="58"/>
      <c r="B6" s="59"/>
      <c r="C6" s="60"/>
      <c r="D6" s="61"/>
      <c r="E6" s="62"/>
      <c r="F6" s="62"/>
      <c r="G6" s="6" t="s">
        <v>64</v>
      </c>
      <c r="H6" s="7">
        <v>2.5</v>
      </c>
      <c r="I6" s="8">
        <f t="shared" si="0"/>
        <v>2.5</v>
      </c>
    </row>
    <row r="7" spans="1:9">
      <c r="A7" s="58"/>
      <c r="B7" s="59"/>
      <c r="C7" s="60"/>
      <c r="D7" s="61"/>
      <c r="E7" s="62"/>
      <c r="F7" s="62"/>
      <c r="G7" s="6" t="s">
        <v>65</v>
      </c>
      <c r="H7" s="7">
        <v>2.5299999999999998</v>
      </c>
      <c r="I7" s="8">
        <f t="shared" si="0"/>
        <v>2.5299999999999998</v>
      </c>
    </row>
    <row r="8" spans="1:9">
      <c r="A8" s="58"/>
      <c r="B8" s="59"/>
      <c r="C8" s="60"/>
      <c r="D8" s="61"/>
      <c r="E8" s="62"/>
      <c r="F8" s="62"/>
      <c r="G8" s="6" t="s">
        <v>66</v>
      </c>
      <c r="H8" s="7">
        <v>3.3</v>
      </c>
      <c r="I8" s="8">
        <f t="shared" si="0"/>
        <v>3.3</v>
      </c>
    </row>
    <row r="9" spans="1:9">
      <c r="A9" s="58"/>
      <c r="B9" s="59"/>
      <c r="C9" s="60"/>
      <c r="D9" s="61"/>
      <c r="E9" s="62"/>
      <c r="F9" s="62"/>
      <c r="G9" s="6" t="s">
        <v>67</v>
      </c>
      <c r="H9" s="7">
        <v>3.44</v>
      </c>
      <c r="I9" s="8" t="str">
        <f t="shared" si="0"/>
        <v>Descartado</v>
      </c>
    </row>
    <row r="10" spans="1:9">
      <c r="A10" s="58"/>
      <c r="B10" s="59"/>
      <c r="C10" s="60"/>
      <c r="D10" s="61"/>
      <c r="E10" s="62"/>
      <c r="F10" s="62"/>
      <c r="G10" s="6" t="s">
        <v>51</v>
      </c>
      <c r="H10" s="7">
        <v>3.54</v>
      </c>
      <c r="I10" s="8" t="str">
        <f t="shared" si="0"/>
        <v>Descartado</v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0.76824475266675329</v>
      </c>
      <c r="B20" s="19">
        <f>COUNT(H3:H17)</f>
        <v>8</v>
      </c>
      <c r="C20" s="20">
        <f>IF(B20&lt;2,"N/A",(A20/D20))</f>
        <v>0.29661959562422907</v>
      </c>
      <c r="D20" s="21">
        <f>ROUND(AVERAGE(H3:H17),2)</f>
        <v>2.59</v>
      </c>
      <c r="E20" s="22">
        <f>IFERROR(ROUND(IF(B20&lt;2,"N/A",(IF(C20&lt;=25%,"N/A",AVERAGE(I3:I17)))),2),"N/A")</f>
        <v>2.29</v>
      </c>
      <c r="F20" s="22">
        <f>ROUND(MEDIAN(H3:H17),2)</f>
        <v>2.52</v>
      </c>
      <c r="G20" s="23" t="str">
        <f>INDEX(G3:G17,MATCH(H20,H3:H17,0))</f>
        <v>W. A DOS SANTOS RIVEIRA COMERCIO E SERVICOS</v>
      </c>
      <c r="H20" s="24">
        <f>MIN(H3:H17)</f>
        <v>1.51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2.29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1374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7" sqref="G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68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69</v>
      </c>
      <c r="C3" s="60" t="s">
        <v>60</v>
      </c>
      <c r="D3" s="61">
        <v>600</v>
      </c>
      <c r="E3" s="62">
        <f>IF(C20&lt;=25%,D20,MIN(E20:F20))</f>
        <v>4.1500000000000004</v>
      </c>
      <c r="F3" s="62">
        <f>MIN(H3:H17)</f>
        <v>2.14</v>
      </c>
      <c r="G3" s="6" t="s">
        <v>70</v>
      </c>
      <c r="H3" s="7">
        <v>2.14</v>
      </c>
      <c r="I3" s="8">
        <f t="shared" ref="I3:I17" si="0">IF(H3="","",(IF($C$20&lt;25%,"N/A",IF(H3&lt;=($D$20+$A$20),H3,"Descartado"))))</f>
        <v>2.14</v>
      </c>
    </row>
    <row r="4" spans="1:9">
      <c r="A4" s="58"/>
      <c r="B4" s="59"/>
      <c r="C4" s="60"/>
      <c r="D4" s="61"/>
      <c r="E4" s="62"/>
      <c r="F4" s="62"/>
      <c r="G4" s="6" t="s">
        <v>71</v>
      </c>
      <c r="H4" s="7">
        <v>2.65</v>
      </c>
      <c r="I4" s="8">
        <f t="shared" si="0"/>
        <v>2.65</v>
      </c>
    </row>
    <row r="5" spans="1:9">
      <c r="A5" s="58"/>
      <c r="B5" s="59"/>
      <c r="C5" s="60"/>
      <c r="D5" s="61"/>
      <c r="E5" s="62"/>
      <c r="F5" s="62"/>
      <c r="G5" s="6" t="s">
        <v>61</v>
      </c>
      <c r="H5" s="7">
        <v>3.12</v>
      </c>
      <c r="I5" s="8">
        <f t="shared" si="0"/>
        <v>3.12</v>
      </c>
    </row>
    <row r="6" spans="1:9">
      <c r="A6" s="58"/>
      <c r="B6" s="59"/>
      <c r="C6" s="60"/>
      <c r="D6" s="61"/>
      <c r="E6" s="62"/>
      <c r="F6" s="62"/>
      <c r="G6" s="6" t="s">
        <v>64</v>
      </c>
      <c r="H6" s="7">
        <v>5</v>
      </c>
      <c r="I6" s="8">
        <f t="shared" si="0"/>
        <v>5</v>
      </c>
    </row>
    <row r="7" spans="1:9">
      <c r="A7" s="58"/>
      <c r="B7" s="59"/>
      <c r="C7" s="60"/>
      <c r="D7" s="61"/>
      <c r="E7" s="62"/>
      <c r="F7" s="62"/>
      <c r="G7" s="6" t="s">
        <v>72</v>
      </c>
      <c r="H7" s="7">
        <v>5.26</v>
      </c>
      <c r="I7" s="8">
        <f t="shared" si="0"/>
        <v>5.26</v>
      </c>
    </row>
    <row r="8" spans="1:9">
      <c r="A8" s="58"/>
      <c r="B8" s="59"/>
      <c r="C8" s="60"/>
      <c r="D8" s="61"/>
      <c r="E8" s="62"/>
      <c r="F8" s="62"/>
      <c r="G8" s="6" t="s">
        <v>73</v>
      </c>
      <c r="H8" s="7">
        <v>5.4</v>
      </c>
      <c r="I8" s="8">
        <f t="shared" si="0"/>
        <v>5.4</v>
      </c>
    </row>
    <row r="9" spans="1:9">
      <c r="A9" s="58"/>
      <c r="B9" s="59"/>
      <c r="C9" s="60"/>
      <c r="D9" s="61"/>
      <c r="E9" s="62"/>
      <c r="F9" s="62"/>
      <c r="G9" s="6" t="s">
        <v>74</v>
      </c>
      <c r="H9" s="7">
        <v>5.5</v>
      </c>
      <c r="I9" s="8">
        <f t="shared" si="0"/>
        <v>5.5</v>
      </c>
    </row>
    <row r="10" spans="1:9">
      <c r="A10" s="58"/>
      <c r="B10" s="59"/>
      <c r="C10" s="60"/>
      <c r="D10" s="61"/>
      <c r="E10" s="62"/>
      <c r="F10" s="62"/>
      <c r="G10" s="6" t="s">
        <v>75</v>
      </c>
      <c r="H10" s="7">
        <v>6</v>
      </c>
      <c r="I10" s="8" t="str">
        <f t="shared" si="0"/>
        <v>Descartado</v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1.496471445004643</v>
      </c>
      <c r="B20" s="19">
        <f>COUNT(H3:H17)</f>
        <v>8</v>
      </c>
      <c r="C20" s="20">
        <f>IF(B20&lt;2,"N/A",(A20/D20))</f>
        <v>0.34166014726133404</v>
      </c>
      <c r="D20" s="21">
        <f>ROUND(AVERAGE(H3:H17),2)</f>
        <v>4.38</v>
      </c>
      <c r="E20" s="22">
        <f>IFERROR(ROUND(IF(B20&lt;2,"N/A",(IF(C20&lt;=25%,"N/A",AVERAGE(I3:I17)))),2),"N/A")</f>
        <v>4.1500000000000004</v>
      </c>
      <c r="F20" s="22">
        <f>ROUND(MEDIAN(H3:H17),2)</f>
        <v>5.13</v>
      </c>
      <c r="G20" s="23" t="str">
        <f>INDEX(G3:G17,MATCH(H20,H3:H17,0))</f>
        <v>ONLINE COMERCIO IMPORTACAO E EXPORTACAO EIRELI</v>
      </c>
      <c r="H20" s="24">
        <f>MIN(H3:H17)</f>
        <v>2.14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4.1500000000000004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2490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7" sqref="G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76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77</v>
      </c>
      <c r="C3" s="60" t="s">
        <v>10</v>
      </c>
      <c r="D3" s="61">
        <v>200</v>
      </c>
      <c r="E3" s="62">
        <f>IF(C20&lt;=25%,D20,MIN(E20:F20))</f>
        <v>7.87</v>
      </c>
      <c r="F3" s="62">
        <f>MIN(H3:H17)</f>
        <v>6.03</v>
      </c>
      <c r="G3" s="6" t="s">
        <v>78</v>
      </c>
      <c r="H3" s="7">
        <v>6.03</v>
      </c>
      <c r="I3" s="8">
        <f t="shared" ref="I3:I17" si="0">IF(H3="","",(IF($C$20&lt;25%,"N/A",IF(H3&lt;=($D$20+$A$20),H3,"Descartado"))))</f>
        <v>6.03</v>
      </c>
    </row>
    <row r="4" spans="1:9">
      <c r="A4" s="58"/>
      <c r="B4" s="59"/>
      <c r="C4" s="60"/>
      <c r="D4" s="61"/>
      <c r="E4" s="62"/>
      <c r="F4" s="62"/>
      <c r="G4" s="6" t="s">
        <v>64</v>
      </c>
      <c r="H4" s="7">
        <v>6.5</v>
      </c>
      <c r="I4" s="8">
        <f t="shared" si="0"/>
        <v>6.5</v>
      </c>
    </row>
    <row r="5" spans="1:9">
      <c r="A5" s="58"/>
      <c r="B5" s="59"/>
      <c r="C5" s="60"/>
      <c r="D5" s="61"/>
      <c r="E5" s="62"/>
      <c r="F5" s="62"/>
      <c r="G5" s="6" t="s">
        <v>65</v>
      </c>
      <c r="H5" s="7">
        <v>7.1</v>
      </c>
      <c r="I5" s="8">
        <f t="shared" si="0"/>
        <v>7.1</v>
      </c>
    </row>
    <row r="6" spans="1:9">
      <c r="A6" s="58"/>
      <c r="B6" s="59"/>
      <c r="C6" s="60"/>
      <c r="D6" s="61"/>
      <c r="E6" s="62"/>
      <c r="F6" s="62"/>
      <c r="G6" s="6" t="s">
        <v>79</v>
      </c>
      <c r="H6" s="7">
        <v>7.8</v>
      </c>
      <c r="I6" s="8">
        <f t="shared" si="0"/>
        <v>7.8</v>
      </c>
    </row>
    <row r="7" spans="1:9">
      <c r="A7" s="58"/>
      <c r="B7" s="59"/>
      <c r="C7" s="60"/>
      <c r="D7" s="61"/>
      <c r="E7" s="62"/>
      <c r="F7" s="62"/>
      <c r="G7" s="6" t="s">
        <v>80</v>
      </c>
      <c r="H7" s="7">
        <v>7.87</v>
      </c>
      <c r="I7" s="8">
        <f t="shared" si="0"/>
        <v>7.87</v>
      </c>
    </row>
    <row r="8" spans="1:9">
      <c r="A8" s="58"/>
      <c r="B8" s="59"/>
      <c r="C8" s="60"/>
      <c r="D8" s="61"/>
      <c r="E8" s="62"/>
      <c r="F8" s="62"/>
      <c r="G8" s="6" t="s">
        <v>81</v>
      </c>
      <c r="H8" s="7">
        <v>8.5</v>
      </c>
      <c r="I8" s="8">
        <f t="shared" si="0"/>
        <v>8.5</v>
      </c>
    </row>
    <row r="9" spans="1:9">
      <c r="A9" s="58"/>
      <c r="B9" s="59"/>
      <c r="C9" s="60"/>
      <c r="D9" s="61"/>
      <c r="E9" s="62"/>
      <c r="F9" s="62"/>
      <c r="G9" s="6" t="s">
        <v>75</v>
      </c>
      <c r="H9" s="7">
        <v>10.27</v>
      </c>
      <c r="I9" s="8">
        <f t="shared" si="0"/>
        <v>10.27</v>
      </c>
    </row>
    <row r="10" spans="1:9">
      <c r="A10" s="58"/>
      <c r="B10" s="59"/>
      <c r="C10" s="60"/>
      <c r="D10" s="61"/>
      <c r="E10" s="62"/>
      <c r="F10" s="62"/>
      <c r="G10" s="6" t="s">
        <v>82</v>
      </c>
      <c r="H10" s="7">
        <v>11.49</v>
      </c>
      <c r="I10" s="8">
        <f t="shared" si="0"/>
        <v>11.49</v>
      </c>
    </row>
    <row r="11" spans="1:9">
      <c r="A11" s="58"/>
      <c r="B11" s="59"/>
      <c r="C11" s="60"/>
      <c r="D11" s="61"/>
      <c r="E11" s="62"/>
      <c r="F11" s="62"/>
      <c r="G11" s="6" t="s">
        <v>83</v>
      </c>
      <c r="H11" s="7">
        <v>14.8</v>
      </c>
      <c r="I11" s="8" t="str">
        <f t="shared" si="0"/>
        <v>Descartado</v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2.8074741514591204</v>
      </c>
      <c r="B20" s="19">
        <f>COUNT(H3:H17)</f>
        <v>9</v>
      </c>
      <c r="C20" s="20">
        <f>IF(B20&lt;2,"N/A",(A20/D20))</f>
        <v>0.3143868030749295</v>
      </c>
      <c r="D20" s="21">
        <f>ROUND(AVERAGE(H3:H17),2)</f>
        <v>8.93</v>
      </c>
      <c r="E20" s="22">
        <f>IFERROR(ROUND(IF(B20&lt;2,"N/A",(IF(C20&lt;=25%,"N/A",AVERAGE(I3:I17)))),2),"N/A")</f>
        <v>8.1999999999999993</v>
      </c>
      <c r="F20" s="22">
        <f>ROUND(MEDIAN(H3:H17),2)</f>
        <v>7.87</v>
      </c>
      <c r="G20" s="23" t="str">
        <f>INDEX(G3:G17,MATCH(H20,H3:H17,0))</f>
        <v>SUPRY OFFICE DISTRIBUIDORA DE MATERIAIS E SERVICOS LTDA</v>
      </c>
      <c r="H20" s="24">
        <f>MIN(H3:H17)</f>
        <v>6.03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7.87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1574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7" sqref="G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84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85</v>
      </c>
      <c r="C3" s="60" t="s">
        <v>10</v>
      </c>
      <c r="D3" s="61">
        <v>200</v>
      </c>
      <c r="E3" s="62">
        <f>IF(C20&lt;=25%,D20,MIN(E20:F20))</f>
        <v>248.86</v>
      </c>
      <c r="F3" s="62">
        <f>MIN(H3:H17)</f>
        <v>219</v>
      </c>
      <c r="G3" s="6" t="s">
        <v>86</v>
      </c>
      <c r="H3" s="7">
        <v>219</v>
      </c>
      <c r="I3" s="8" t="str">
        <f t="shared" ref="I3:I17" si="0">IF(H3="","",(IF($C$20&lt;25%,"N/A",IF(H3&lt;=($D$20+$A$20),H3,"Descartado"))))</f>
        <v>N/A</v>
      </c>
    </row>
    <row r="4" spans="1:9">
      <c r="A4" s="58"/>
      <c r="B4" s="59"/>
      <c r="C4" s="60"/>
      <c r="D4" s="61"/>
      <c r="E4" s="62"/>
      <c r="F4" s="62"/>
      <c r="G4" s="6" t="s">
        <v>87</v>
      </c>
      <c r="H4" s="7">
        <v>234.3</v>
      </c>
      <c r="I4" s="8" t="str">
        <f t="shared" si="0"/>
        <v>N/A</v>
      </c>
    </row>
    <row r="5" spans="1:9">
      <c r="A5" s="58"/>
      <c r="B5" s="59"/>
      <c r="C5" s="60"/>
      <c r="D5" s="61"/>
      <c r="E5" s="62"/>
      <c r="F5" s="62"/>
      <c r="G5" s="6" t="s">
        <v>88</v>
      </c>
      <c r="H5" s="7">
        <v>264</v>
      </c>
      <c r="I5" s="8" t="str">
        <f t="shared" si="0"/>
        <v>N/A</v>
      </c>
    </row>
    <row r="6" spans="1:9">
      <c r="A6" s="58"/>
      <c r="B6" s="59"/>
      <c r="C6" s="60"/>
      <c r="D6" s="61"/>
      <c r="E6" s="62"/>
      <c r="F6" s="62"/>
      <c r="G6" s="6" t="s">
        <v>89</v>
      </c>
      <c r="H6" s="7">
        <v>278.14</v>
      </c>
      <c r="I6" s="8" t="str">
        <f t="shared" si="0"/>
        <v>N/A</v>
      </c>
    </row>
    <row r="7" spans="1:9">
      <c r="A7" s="58"/>
      <c r="B7" s="59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8"/>
      <c r="B8" s="59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8"/>
      <c r="B9" s="59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27.019444849959438</v>
      </c>
      <c r="B20" s="19">
        <f>COUNT(H3:H17)</f>
        <v>4</v>
      </c>
      <c r="C20" s="20">
        <f>IF(B20&lt;2,"N/A",(A20/D20))</f>
        <v>0.10857287169476589</v>
      </c>
      <c r="D20" s="21">
        <f>ROUND(AVERAGE(H3:H17),2)</f>
        <v>248.86</v>
      </c>
      <c r="E20" s="22" t="str">
        <f>IFERROR(ROUND(IF(B20&lt;2,"N/A",(IF(C20&lt;=25%,"N/A",AVERAGE(I3:I17)))),2),"N/A")</f>
        <v>N/A</v>
      </c>
      <c r="F20" s="22">
        <f>ROUND(MEDIAN(H3:H17),2)</f>
        <v>249.15</v>
      </c>
      <c r="G20" s="23" t="str">
        <f>INDEX(G3:G17,MATCH(H20,H3:H17,0))</f>
        <v>BRAZIL IT SOLUCOES EM INFORMATICA LTDA</v>
      </c>
      <c r="H20" s="24">
        <f>MIN(H3:H17)</f>
        <v>219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248.86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49772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18" sqref="D1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90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/>
      <c r="C3" s="60" t="s">
        <v>10</v>
      </c>
      <c r="D3" s="61"/>
      <c r="E3" s="62" t="e">
        <f>IF(C20&lt;=25%,D20,MIN(E20:F20))</f>
        <v>#NUM!</v>
      </c>
      <c r="F3" s="62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8"/>
      <c r="B4" s="59"/>
      <c r="C4" s="60"/>
      <c r="D4" s="61"/>
      <c r="E4" s="62"/>
      <c r="F4" s="62"/>
      <c r="G4" s="6"/>
      <c r="H4" s="7"/>
      <c r="I4" s="8" t="str">
        <f t="shared" si="0"/>
        <v/>
      </c>
    </row>
    <row r="5" spans="1:9">
      <c r="A5" s="58"/>
      <c r="B5" s="59"/>
      <c r="C5" s="60"/>
      <c r="D5" s="61"/>
      <c r="E5" s="62"/>
      <c r="F5" s="62"/>
      <c r="G5" s="6"/>
      <c r="H5" s="7"/>
      <c r="I5" s="8" t="str">
        <f t="shared" si="0"/>
        <v/>
      </c>
    </row>
    <row r="6" spans="1:9">
      <c r="A6" s="58"/>
      <c r="B6" s="59"/>
      <c r="C6" s="60"/>
      <c r="D6" s="61"/>
      <c r="E6" s="62"/>
      <c r="F6" s="62"/>
      <c r="G6" s="6"/>
      <c r="H6" s="7"/>
      <c r="I6" s="8" t="str">
        <f t="shared" si="0"/>
        <v/>
      </c>
    </row>
    <row r="7" spans="1:9">
      <c r="A7" s="58"/>
      <c r="B7" s="59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8"/>
      <c r="B8" s="59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8"/>
      <c r="B9" s="59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6"/>
      <c r="E23" s="56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91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/>
      <c r="C3" s="60" t="s">
        <v>10</v>
      </c>
      <c r="D3" s="61"/>
      <c r="E3" s="62" t="e">
        <f>IF(C20&lt;=25%,D20,MIN(E20:F20))</f>
        <v>#NUM!</v>
      </c>
      <c r="F3" s="62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8"/>
      <c r="B4" s="59"/>
      <c r="C4" s="60"/>
      <c r="D4" s="61"/>
      <c r="E4" s="62"/>
      <c r="F4" s="62"/>
      <c r="G4" s="6"/>
      <c r="H4" s="7"/>
      <c r="I4" s="8" t="str">
        <f t="shared" si="0"/>
        <v/>
      </c>
    </row>
    <row r="5" spans="1:9">
      <c r="A5" s="58"/>
      <c r="B5" s="59"/>
      <c r="C5" s="60"/>
      <c r="D5" s="61"/>
      <c r="E5" s="62"/>
      <c r="F5" s="62"/>
      <c r="G5" s="6"/>
      <c r="H5" s="7"/>
      <c r="I5" s="8" t="str">
        <f t="shared" si="0"/>
        <v/>
      </c>
    </row>
    <row r="6" spans="1:9">
      <c r="A6" s="58"/>
      <c r="B6" s="59"/>
      <c r="C6" s="60"/>
      <c r="D6" s="61"/>
      <c r="E6" s="62"/>
      <c r="F6" s="62"/>
      <c r="G6" s="6"/>
      <c r="H6" s="7"/>
      <c r="I6" s="8" t="str">
        <f t="shared" si="0"/>
        <v/>
      </c>
    </row>
    <row r="7" spans="1:9">
      <c r="A7" s="58"/>
      <c r="B7" s="59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8"/>
      <c r="B8" s="59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8"/>
      <c r="B9" s="59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6"/>
      <c r="E23" s="56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92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/>
      <c r="C3" s="60" t="s">
        <v>10</v>
      </c>
      <c r="D3" s="61"/>
      <c r="E3" s="62" t="e">
        <f>IF(C20&lt;=25%,D20,MIN(E20:F20))</f>
        <v>#NUM!</v>
      </c>
      <c r="F3" s="62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8"/>
      <c r="B4" s="59"/>
      <c r="C4" s="60"/>
      <c r="D4" s="61"/>
      <c r="E4" s="62"/>
      <c r="F4" s="62"/>
      <c r="G4" s="6"/>
      <c r="H4" s="7"/>
      <c r="I4" s="8" t="str">
        <f t="shared" si="0"/>
        <v/>
      </c>
    </row>
    <row r="5" spans="1:9">
      <c r="A5" s="58"/>
      <c r="B5" s="59"/>
      <c r="C5" s="60"/>
      <c r="D5" s="61"/>
      <c r="E5" s="62"/>
      <c r="F5" s="62"/>
      <c r="G5" s="6"/>
      <c r="H5" s="7"/>
      <c r="I5" s="8" t="str">
        <f t="shared" si="0"/>
        <v/>
      </c>
    </row>
    <row r="6" spans="1:9">
      <c r="A6" s="58"/>
      <c r="B6" s="59"/>
      <c r="C6" s="60"/>
      <c r="D6" s="61"/>
      <c r="E6" s="62"/>
      <c r="F6" s="62"/>
      <c r="G6" s="6"/>
      <c r="H6" s="7"/>
      <c r="I6" s="8" t="str">
        <f t="shared" si="0"/>
        <v/>
      </c>
    </row>
    <row r="7" spans="1:9">
      <c r="A7" s="58"/>
      <c r="B7" s="59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8"/>
      <c r="B8" s="59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8"/>
      <c r="B9" s="59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6"/>
      <c r="E23" s="56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93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/>
      <c r="C3" s="60" t="s">
        <v>10</v>
      </c>
      <c r="D3" s="61"/>
      <c r="E3" s="62" t="e">
        <f>IF(C20&lt;=25%,D20,MIN(E20:F20))</f>
        <v>#NUM!</v>
      </c>
      <c r="F3" s="62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8"/>
      <c r="B4" s="59"/>
      <c r="C4" s="60"/>
      <c r="D4" s="61"/>
      <c r="E4" s="62"/>
      <c r="F4" s="62"/>
      <c r="G4" s="6"/>
      <c r="H4" s="7"/>
      <c r="I4" s="8" t="str">
        <f t="shared" si="0"/>
        <v/>
      </c>
    </row>
    <row r="5" spans="1:9">
      <c r="A5" s="58"/>
      <c r="B5" s="59"/>
      <c r="C5" s="60"/>
      <c r="D5" s="61"/>
      <c r="E5" s="62"/>
      <c r="F5" s="62"/>
      <c r="G5" s="6"/>
      <c r="H5" s="7"/>
      <c r="I5" s="8" t="str">
        <f t="shared" si="0"/>
        <v/>
      </c>
    </row>
    <row r="6" spans="1:9">
      <c r="A6" s="58"/>
      <c r="B6" s="59"/>
      <c r="C6" s="60"/>
      <c r="D6" s="61"/>
      <c r="E6" s="62"/>
      <c r="F6" s="62"/>
      <c r="G6" s="6"/>
      <c r="H6" s="7"/>
      <c r="I6" s="8" t="str">
        <f t="shared" si="0"/>
        <v/>
      </c>
    </row>
    <row r="7" spans="1:9">
      <c r="A7" s="58"/>
      <c r="B7" s="59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8"/>
      <c r="B8" s="59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8"/>
      <c r="B9" s="59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6"/>
      <c r="E23" s="56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94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/>
      <c r="C3" s="60" t="s">
        <v>10</v>
      </c>
      <c r="D3" s="61"/>
      <c r="E3" s="62" t="e">
        <f>IF(C20&lt;=25%,D20,MIN(E20:F20))</f>
        <v>#NUM!</v>
      </c>
      <c r="F3" s="62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8"/>
      <c r="B4" s="59"/>
      <c r="C4" s="60"/>
      <c r="D4" s="61"/>
      <c r="E4" s="62"/>
      <c r="F4" s="62"/>
      <c r="G4" s="6"/>
      <c r="H4" s="7"/>
      <c r="I4" s="8" t="str">
        <f t="shared" si="0"/>
        <v/>
      </c>
    </row>
    <row r="5" spans="1:9">
      <c r="A5" s="58"/>
      <c r="B5" s="59"/>
      <c r="C5" s="60"/>
      <c r="D5" s="61"/>
      <c r="E5" s="62"/>
      <c r="F5" s="62"/>
      <c r="G5" s="6"/>
      <c r="H5" s="7"/>
      <c r="I5" s="8" t="str">
        <f t="shared" si="0"/>
        <v/>
      </c>
    </row>
    <row r="6" spans="1:9">
      <c r="A6" s="58"/>
      <c r="B6" s="59"/>
      <c r="C6" s="60"/>
      <c r="D6" s="61"/>
      <c r="E6" s="62"/>
      <c r="F6" s="62"/>
      <c r="G6" s="6"/>
      <c r="H6" s="7"/>
      <c r="I6" s="8" t="str">
        <f t="shared" si="0"/>
        <v/>
      </c>
    </row>
    <row r="7" spans="1:9">
      <c r="A7" s="58"/>
      <c r="B7" s="59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8"/>
      <c r="B8" s="59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8"/>
      <c r="B9" s="59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6"/>
      <c r="E23" s="56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95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/>
      <c r="C3" s="60" t="s">
        <v>10</v>
      </c>
      <c r="D3" s="61"/>
      <c r="E3" s="62" t="e">
        <f>IF(C20&lt;=25%,D20,MIN(E20:F20))</f>
        <v>#NUM!</v>
      </c>
      <c r="F3" s="62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8"/>
      <c r="B4" s="59"/>
      <c r="C4" s="60"/>
      <c r="D4" s="61"/>
      <c r="E4" s="62"/>
      <c r="F4" s="62"/>
      <c r="G4" s="6"/>
      <c r="H4" s="7"/>
      <c r="I4" s="8" t="str">
        <f t="shared" si="0"/>
        <v/>
      </c>
    </row>
    <row r="5" spans="1:9">
      <c r="A5" s="58"/>
      <c r="B5" s="59"/>
      <c r="C5" s="60"/>
      <c r="D5" s="61"/>
      <c r="E5" s="62"/>
      <c r="F5" s="62"/>
      <c r="G5" s="6"/>
      <c r="H5" s="7"/>
      <c r="I5" s="8" t="str">
        <f t="shared" si="0"/>
        <v/>
      </c>
    </row>
    <row r="6" spans="1:9">
      <c r="A6" s="58"/>
      <c r="B6" s="59"/>
      <c r="C6" s="60"/>
      <c r="D6" s="61"/>
      <c r="E6" s="62"/>
      <c r="F6" s="62"/>
      <c r="G6" s="6"/>
      <c r="H6" s="7"/>
      <c r="I6" s="8" t="str">
        <f t="shared" si="0"/>
        <v/>
      </c>
    </row>
    <row r="7" spans="1:9">
      <c r="A7" s="58"/>
      <c r="B7" s="59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8"/>
      <c r="B8" s="59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8"/>
      <c r="B9" s="59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6"/>
      <c r="E23" s="56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7" sqref="G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31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116</v>
      </c>
      <c r="C3" s="60" t="s">
        <v>117</v>
      </c>
      <c r="D3" s="61">
        <v>2500</v>
      </c>
      <c r="E3" s="62">
        <f>IF(C20&lt;=25%,D20,MIN(E20:F20))</f>
        <v>19.72</v>
      </c>
      <c r="F3" s="62">
        <f>MIN(H3:H17)</f>
        <v>13.68</v>
      </c>
      <c r="G3" s="6" t="s">
        <v>153</v>
      </c>
      <c r="H3" s="7">
        <v>19.899999999999999</v>
      </c>
      <c r="I3" s="8" t="str">
        <f t="shared" ref="I3:I17" si="0">IF(H3="","",(IF($C$20&lt;25%,"N/A",IF(H3&lt;=($D$20+$A$20),H3,"Descartado"))))</f>
        <v>N/A</v>
      </c>
    </row>
    <row r="4" spans="1:9">
      <c r="A4" s="58"/>
      <c r="B4" s="59"/>
      <c r="C4" s="60"/>
      <c r="D4" s="61"/>
      <c r="E4" s="62"/>
      <c r="F4" s="62"/>
      <c r="G4" s="6" t="s">
        <v>252</v>
      </c>
      <c r="H4" s="7">
        <v>25.3</v>
      </c>
      <c r="I4" s="8" t="str">
        <f t="shared" si="0"/>
        <v>N/A</v>
      </c>
    </row>
    <row r="5" spans="1:9">
      <c r="A5" s="58"/>
      <c r="B5" s="59"/>
      <c r="C5" s="60"/>
      <c r="D5" s="61"/>
      <c r="E5" s="62"/>
      <c r="F5" s="62"/>
      <c r="G5" s="6" t="s">
        <v>253</v>
      </c>
      <c r="H5" s="7">
        <v>19.98</v>
      </c>
      <c r="I5" s="8" t="str">
        <f t="shared" si="0"/>
        <v>N/A</v>
      </c>
    </row>
    <row r="6" spans="1:9">
      <c r="A6" s="58"/>
      <c r="B6" s="59"/>
      <c r="C6" s="60"/>
      <c r="D6" s="61"/>
      <c r="E6" s="62"/>
      <c r="F6" s="62"/>
      <c r="G6" s="6" t="s">
        <v>254</v>
      </c>
      <c r="H6" s="7">
        <v>13.68</v>
      </c>
      <c r="I6" s="8" t="str">
        <f t="shared" si="0"/>
        <v>N/A</v>
      </c>
    </row>
    <row r="7" spans="1:9">
      <c r="A7" s="58"/>
      <c r="B7" s="59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8"/>
      <c r="B8" s="59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8"/>
      <c r="B9" s="59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4.7510665469274436</v>
      </c>
      <c r="B20" s="19">
        <f>COUNT(H3:H17)</f>
        <v>4</v>
      </c>
      <c r="C20" s="20">
        <f>IF(B20&lt;2,"N/A",(A20/D20))</f>
        <v>0.2409262954831361</v>
      </c>
      <c r="D20" s="21">
        <f>ROUND(AVERAGE(H3:H17),2)</f>
        <v>19.72</v>
      </c>
      <c r="E20" s="22" t="str">
        <f>IFERROR(ROUND(IF(B20&lt;2,"N/A",(IF(C20&lt;=25%,"N/A",AVERAGE(I3:I17)))),2),"N/A")</f>
        <v>N/A</v>
      </c>
      <c r="F20" s="22">
        <f>ROUND(MEDIAN(H3:H17),2)</f>
        <v>19.940000000000001</v>
      </c>
      <c r="G20" s="23" t="str">
        <f>INDEX(G3:G17,MATCH(H20,H3:H17,0))</f>
        <v>PAPELARIA BLAU</v>
      </c>
      <c r="H20" s="24">
        <f>MIN(H3:H17)</f>
        <v>13.68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19.72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49300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96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/>
      <c r="C3" s="60" t="s">
        <v>10</v>
      </c>
      <c r="D3" s="61"/>
      <c r="E3" s="62" t="e">
        <f>IF(C20&lt;=25%,D20,MIN(E20:F20))</f>
        <v>#NUM!</v>
      </c>
      <c r="F3" s="62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8"/>
      <c r="B4" s="59"/>
      <c r="C4" s="60"/>
      <c r="D4" s="61"/>
      <c r="E4" s="62"/>
      <c r="F4" s="62"/>
      <c r="G4" s="6"/>
      <c r="H4" s="7"/>
      <c r="I4" s="8" t="str">
        <f t="shared" si="0"/>
        <v/>
      </c>
    </row>
    <row r="5" spans="1:9">
      <c r="A5" s="58"/>
      <c r="B5" s="59"/>
      <c r="C5" s="60"/>
      <c r="D5" s="61"/>
      <c r="E5" s="62"/>
      <c r="F5" s="62"/>
      <c r="G5" s="6"/>
      <c r="H5" s="7"/>
      <c r="I5" s="8" t="str">
        <f t="shared" si="0"/>
        <v/>
      </c>
    </row>
    <row r="6" spans="1:9">
      <c r="A6" s="58"/>
      <c r="B6" s="59"/>
      <c r="C6" s="60"/>
      <c r="D6" s="61"/>
      <c r="E6" s="62"/>
      <c r="F6" s="62"/>
      <c r="G6" s="6"/>
      <c r="H6" s="7"/>
      <c r="I6" s="8" t="str">
        <f t="shared" si="0"/>
        <v/>
      </c>
    </row>
    <row r="7" spans="1:9">
      <c r="A7" s="58"/>
      <c r="B7" s="59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8"/>
      <c r="B8" s="59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8"/>
      <c r="B9" s="59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6"/>
      <c r="E23" s="56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97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/>
      <c r="C3" s="60" t="s">
        <v>10</v>
      </c>
      <c r="D3" s="61"/>
      <c r="E3" s="62" t="e">
        <f>IF(C20&lt;=25%,D20,MIN(E20:F20))</f>
        <v>#NUM!</v>
      </c>
      <c r="F3" s="62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8"/>
      <c r="B4" s="59"/>
      <c r="C4" s="60"/>
      <c r="D4" s="61"/>
      <c r="E4" s="62"/>
      <c r="F4" s="62"/>
      <c r="G4" s="6"/>
      <c r="H4" s="7"/>
      <c r="I4" s="8" t="str">
        <f t="shared" si="0"/>
        <v/>
      </c>
    </row>
    <row r="5" spans="1:9">
      <c r="A5" s="58"/>
      <c r="B5" s="59"/>
      <c r="C5" s="60"/>
      <c r="D5" s="61"/>
      <c r="E5" s="62"/>
      <c r="F5" s="62"/>
      <c r="G5" s="6"/>
      <c r="H5" s="7"/>
      <c r="I5" s="8" t="str">
        <f t="shared" si="0"/>
        <v/>
      </c>
    </row>
    <row r="6" spans="1:9">
      <c r="A6" s="58"/>
      <c r="B6" s="59"/>
      <c r="C6" s="60"/>
      <c r="D6" s="61"/>
      <c r="E6" s="62"/>
      <c r="F6" s="62"/>
      <c r="G6" s="6"/>
      <c r="H6" s="7"/>
      <c r="I6" s="8" t="str">
        <f t="shared" si="0"/>
        <v/>
      </c>
    </row>
    <row r="7" spans="1:9">
      <c r="A7" s="58"/>
      <c r="B7" s="59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8"/>
      <c r="B8" s="59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8"/>
      <c r="B9" s="59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6"/>
      <c r="E23" s="56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98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/>
      <c r="C3" s="60" t="s">
        <v>10</v>
      </c>
      <c r="D3" s="61"/>
      <c r="E3" s="62" t="e">
        <f>IF(C20&lt;=25%,D20,MIN(E20:F20))</f>
        <v>#NUM!</v>
      </c>
      <c r="F3" s="62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8"/>
      <c r="B4" s="59"/>
      <c r="C4" s="60"/>
      <c r="D4" s="61"/>
      <c r="E4" s="62"/>
      <c r="F4" s="62"/>
      <c r="G4" s="6"/>
      <c r="H4" s="7"/>
      <c r="I4" s="8" t="str">
        <f t="shared" si="0"/>
        <v/>
      </c>
    </row>
    <row r="5" spans="1:9">
      <c r="A5" s="58"/>
      <c r="B5" s="59"/>
      <c r="C5" s="60"/>
      <c r="D5" s="61"/>
      <c r="E5" s="62"/>
      <c r="F5" s="62"/>
      <c r="G5" s="6"/>
      <c r="H5" s="7"/>
      <c r="I5" s="8" t="str">
        <f t="shared" si="0"/>
        <v/>
      </c>
    </row>
    <row r="6" spans="1:9">
      <c r="A6" s="58"/>
      <c r="B6" s="59"/>
      <c r="C6" s="60"/>
      <c r="D6" s="61"/>
      <c r="E6" s="62"/>
      <c r="F6" s="62"/>
      <c r="G6" s="6"/>
      <c r="H6" s="7"/>
      <c r="I6" s="8" t="str">
        <f t="shared" si="0"/>
        <v/>
      </c>
    </row>
    <row r="7" spans="1:9">
      <c r="A7" s="58"/>
      <c r="B7" s="59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8"/>
      <c r="B8" s="59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8"/>
      <c r="B9" s="59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6"/>
      <c r="E23" s="56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99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/>
      <c r="C3" s="60" t="s">
        <v>10</v>
      </c>
      <c r="D3" s="61"/>
      <c r="E3" s="62" t="e">
        <f>IF(C20&lt;=25%,D20,MIN(E20:F20))</f>
        <v>#NUM!</v>
      </c>
      <c r="F3" s="62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8"/>
      <c r="B4" s="59"/>
      <c r="C4" s="60"/>
      <c r="D4" s="61"/>
      <c r="E4" s="62"/>
      <c r="F4" s="62"/>
      <c r="G4" s="6"/>
      <c r="H4" s="7"/>
      <c r="I4" s="8" t="str">
        <f t="shared" si="0"/>
        <v/>
      </c>
    </row>
    <row r="5" spans="1:9">
      <c r="A5" s="58"/>
      <c r="B5" s="59"/>
      <c r="C5" s="60"/>
      <c r="D5" s="61"/>
      <c r="E5" s="62"/>
      <c r="F5" s="62"/>
      <c r="G5" s="6"/>
      <c r="H5" s="7"/>
      <c r="I5" s="8" t="str">
        <f t="shared" si="0"/>
        <v/>
      </c>
    </row>
    <row r="6" spans="1:9">
      <c r="A6" s="58"/>
      <c r="B6" s="59"/>
      <c r="C6" s="60"/>
      <c r="D6" s="61"/>
      <c r="E6" s="62"/>
      <c r="F6" s="62"/>
      <c r="G6" s="6"/>
      <c r="H6" s="7"/>
      <c r="I6" s="8" t="str">
        <f t="shared" si="0"/>
        <v/>
      </c>
    </row>
    <row r="7" spans="1:9">
      <c r="A7" s="58"/>
      <c r="B7" s="59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8"/>
      <c r="B8" s="59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8"/>
      <c r="B9" s="59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6"/>
      <c r="E23" s="56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100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/>
      <c r="C3" s="60" t="s">
        <v>10</v>
      </c>
      <c r="D3" s="61"/>
      <c r="E3" s="62" t="e">
        <f>IF(C20&lt;=25%,D20,MIN(E20:F20))</f>
        <v>#NUM!</v>
      </c>
      <c r="F3" s="62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8"/>
      <c r="B4" s="59"/>
      <c r="C4" s="60"/>
      <c r="D4" s="61"/>
      <c r="E4" s="62"/>
      <c r="F4" s="62"/>
      <c r="G4" s="6"/>
      <c r="H4" s="7"/>
      <c r="I4" s="8" t="str">
        <f t="shared" si="0"/>
        <v/>
      </c>
    </row>
    <row r="5" spans="1:9">
      <c r="A5" s="58"/>
      <c r="B5" s="59"/>
      <c r="C5" s="60"/>
      <c r="D5" s="61"/>
      <c r="E5" s="62"/>
      <c r="F5" s="62"/>
      <c r="G5" s="6"/>
      <c r="H5" s="7"/>
      <c r="I5" s="8" t="str">
        <f t="shared" si="0"/>
        <v/>
      </c>
    </row>
    <row r="6" spans="1:9">
      <c r="A6" s="58"/>
      <c r="B6" s="59"/>
      <c r="C6" s="60"/>
      <c r="D6" s="61"/>
      <c r="E6" s="62"/>
      <c r="F6" s="62"/>
      <c r="G6" s="6"/>
      <c r="H6" s="7"/>
      <c r="I6" s="8" t="str">
        <f t="shared" si="0"/>
        <v/>
      </c>
    </row>
    <row r="7" spans="1:9">
      <c r="A7" s="58"/>
      <c r="B7" s="59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8"/>
      <c r="B8" s="59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8"/>
      <c r="B9" s="59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6"/>
      <c r="E23" s="56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39"/>
  <sheetViews>
    <sheetView view="pageBreakPreview" zoomScaleNormal="100" zoomScaleSheetLayoutView="100" workbookViewId="0">
      <selection activeCell="F40" sqref="F40"/>
    </sheetView>
  </sheetViews>
  <sheetFormatPr defaultColWidth="9.28515625" defaultRowHeight="12.75"/>
  <cols>
    <col min="1" max="1" width="9.140625" style="34" customWidth="1"/>
    <col min="2" max="2" width="86.85546875" style="34" customWidth="1"/>
    <col min="3" max="5" width="13.28515625" style="34" customWidth="1"/>
    <col min="6" max="6" width="17.28515625" style="34" customWidth="1"/>
    <col min="7" max="13" width="9.140625" style="35" customWidth="1"/>
    <col min="14" max="63" width="9.140625" style="34" customWidth="1"/>
    <col min="1023" max="1024" width="11.5703125" customWidth="1"/>
  </cols>
  <sheetData>
    <row r="1" spans="1:6" ht="12.75" customHeight="1">
      <c r="A1" s="36"/>
      <c r="B1" s="37"/>
      <c r="C1" s="38"/>
      <c r="D1" s="38"/>
      <c r="E1" s="38"/>
      <c r="F1" s="38"/>
    </row>
    <row r="2" spans="1:6" ht="12.75" customHeight="1">
      <c r="A2" s="36"/>
      <c r="B2" s="37"/>
      <c r="C2" s="38"/>
      <c r="D2" s="38"/>
      <c r="E2" s="38"/>
      <c r="F2" s="38"/>
    </row>
    <row r="3" spans="1:6" ht="12.75" customHeight="1">
      <c r="A3" s="36"/>
      <c r="B3" s="37"/>
      <c r="C3" s="38"/>
      <c r="D3" s="38"/>
      <c r="E3" s="38"/>
      <c r="F3" s="38"/>
    </row>
    <row r="4" spans="1:6" ht="12.75" customHeight="1">
      <c r="A4" s="36"/>
      <c r="B4" s="37"/>
      <c r="C4" s="38"/>
      <c r="D4" s="38"/>
      <c r="E4" s="38"/>
      <c r="F4" s="38"/>
    </row>
    <row r="5" spans="1:6" ht="12.75" customHeight="1">
      <c r="A5" s="63"/>
      <c r="B5" s="63"/>
      <c r="C5" s="63"/>
      <c r="D5" s="63"/>
      <c r="E5" s="63"/>
      <c r="F5" s="63"/>
    </row>
    <row r="6" spans="1:6" ht="12.75" customHeight="1">
      <c r="A6" s="63"/>
      <c r="B6" s="63"/>
      <c r="C6" s="63"/>
      <c r="D6" s="63"/>
      <c r="E6" s="63"/>
      <c r="F6" s="63"/>
    </row>
    <row r="7" spans="1:6" ht="12.75" customHeight="1">
      <c r="A7" s="39"/>
      <c r="B7" s="40"/>
      <c r="C7" s="41"/>
      <c r="D7" s="41"/>
      <c r="E7" s="41"/>
      <c r="F7" s="41"/>
    </row>
    <row r="8" spans="1:6" ht="15.75" customHeight="1">
      <c r="A8" s="64" t="s">
        <v>101</v>
      </c>
      <c r="B8" s="64"/>
      <c r="C8" s="64"/>
      <c r="D8" s="64"/>
      <c r="E8" s="64"/>
      <c r="F8" s="64"/>
    </row>
    <row r="9" spans="1:6" ht="25.5">
      <c r="A9" s="42" t="s">
        <v>102</v>
      </c>
      <c r="B9" s="42" t="s">
        <v>103</v>
      </c>
      <c r="C9" s="42" t="s">
        <v>104</v>
      </c>
      <c r="D9" s="42" t="s">
        <v>105</v>
      </c>
      <c r="E9" s="42" t="s">
        <v>106</v>
      </c>
      <c r="F9" s="42" t="s">
        <v>107</v>
      </c>
    </row>
    <row r="10" spans="1:6" ht="127.5">
      <c r="A10" s="43">
        <v>1</v>
      </c>
      <c r="B10" s="44" t="str">
        <f>Item1!B3</f>
        <v>Caneta esferográfica
Cor azul
Em material plástico,
Ponta em aço inoxidável ou latão, com esfera de tungstênio,
Corpo transparente
Selo de adequação à norma ABNT NBR 15236/2012 – Versão Corrigida 2013.
Acondicionada em caixa com 50 unidades;
Prazo de validade impresso na embalagem, não inferior a 18 meses contados da data do recebimento definitivo.
Marca de Referência: Bic, Compactor, Faber Castell, Pilot, ou similar*</v>
      </c>
      <c r="C10" s="43" t="str">
        <f>Item1!C3</f>
        <v>caixa</v>
      </c>
      <c r="D10" s="43">
        <f>Item1!D3</f>
        <v>1250</v>
      </c>
      <c r="E10" s="45">
        <f>Item1!E3</f>
        <v>28.31</v>
      </c>
      <c r="F10" s="45">
        <f t="shared" ref="F10:F37" si="0">(ROUND(E10,2)*D10)</f>
        <v>35387.5</v>
      </c>
    </row>
    <row r="11" spans="1:6" ht="127.5">
      <c r="A11" s="43">
        <v>2</v>
      </c>
      <c r="B11" s="44" t="str">
        <f>Item2!B3</f>
        <v>Caneta esferográfica
Cor vermelha
Em material plástico,
Ponta em aço inoxidável ou latão, com esfera de tungstênio,
Corpo transparente
Selo de adequação à norma ABNT NBR 15236/2012 – Versão Corrigida 2013.
Acondicionada em caixa com 50 unidades;
Prazo de validade impresso na embalagem, não inferior a 18 meses contados da data do recebimento definitivo.
Marca de Referência: Bic, Compactor, Faber Castell, Pilot, ou similar*</v>
      </c>
      <c r="C11" s="43" t="str">
        <f>Item2!C3</f>
        <v>caixa</v>
      </c>
      <c r="D11" s="43">
        <f>Item2!D3</f>
        <v>300</v>
      </c>
      <c r="E11" s="45">
        <f>Item2!E3</f>
        <v>28.15</v>
      </c>
      <c r="F11" s="45">
        <f t="shared" si="0"/>
        <v>8445</v>
      </c>
    </row>
    <row r="12" spans="1:6" ht="127.5">
      <c r="A12" s="43">
        <v>3</v>
      </c>
      <c r="B12" s="44" t="str">
        <f>Item3!B3</f>
        <v>Caneta esferográfica
Cor preta.
Em material plástico,
Ponta em aço inoxidável ou latão, com esfera de tungstênio,
Corpo transparente
Selo de adequação à norma ABNT NBR 15236/2012 – Versão Corrigida 2013.
Acondicionada em caixa com 50 unidades;
Prazo de validade impresso na embalagem, não inferior a 18 meses contados da data do recebimento definitivo.
Marca de Referência: Bic, Compactor, Faber Castell, Pilot, ou similar*</v>
      </c>
      <c r="C12" s="43" t="str">
        <f>Item3!C3</f>
        <v>caixa</v>
      </c>
      <c r="D12" s="43">
        <f>Item3!D3</f>
        <v>10</v>
      </c>
      <c r="E12" s="45">
        <f>Item3!E3</f>
        <v>28.49</v>
      </c>
      <c r="F12" s="45">
        <f t="shared" si="0"/>
        <v>284.89999999999998</v>
      </c>
    </row>
    <row r="13" spans="1:6" ht="89.25">
      <c r="A13" s="43">
        <v>4</v>
      </c>
      <c r="B13" s="44" t="str">
        <f>Item4!B3</f>
        <v>Etiqueta auto adesiva
Folha em formato A4;
Gramatura 75 g/m2
Papel couchê removível;
Cor branca,
Folha contendo 1 etiqueta
Acondicionadas em pacotes com 25 folhas</v>
      </c>
      <c r="C13" s="43" t="str">
        <f>Item4!C3</f>
        <v>pacote</v>
      </c>
      <c r="D13" s="43">
        <f>Item4!D3</f>
        <v>2500</v>
      </c>
      <c r="E13" s="45">
        <f>Item4!E3</f>
        <v>19.72</v>
      </c>
      <c r="F13" s="45">
        <f t="shared" si="0"/>
        <v>49300</v>
      </c>
    </row>
    <row r="14" spans="1:6" ht="89.25">
      <c r="A14" s="43">
        <v>5</v>
      </c>
      <c r="B14" s="44" t="str">
        <f>Item5!B3</f>
        <v>Etiqueta auto adesiva
Folha em formato carta;
Gramatura 75 g/m2
Cor branca fosca,
06 (seis) etiquetas de tamanho 84,7 x 101,6mm por folha
Acondicionadas em pacotes com 25 folhas, embaladas em plástico transparente. Pacotes acondicionados em caixas.</v>
      </c>
      <c r="C14" s="43" t="str">
        <f>Item5!C3</f>
        <v>pacote</v>
      </c>
      <c r="D14" s="43">
        <f>Item5!D3</f>
        <v>1500</v>
      </c>
      <c r="E14" s="45">
        <f>Item5!E3</f>
        <v>16.54</v>
      </c>
      <c r="F14" s="45">
        <f t="shared" si="0"/>
        <v>24810</v>
      </c>
    </row>
    <row r="15" spans="1:6" ht="114.75">
      <c r="A15" s="43">
        <v>6</v>
      </c>
      <c r="B15" s="44" t="str">
        <f>Item6!B3</f>
        <v>Etiqueta auto adesiva
Folha em formato Carta;
Gramatura 75 g/m2
Papel couchê removível;
Cor branca,
30 etiquetas de tamanho 25,4 x 66,7mm, por folha.
Admitida variação de  + ou - 0,4 mm por etiqueta.
Acondicionadas em pacotes com 100  folhas, embaladas em plástico transparente. Pacotes acondicionados em caixas.</v>
      </c>
      <c r="C15" s="43" t="str">
        <f>Item6!C3</f>
        <v>pacote</v>
      </c>
      <c r="D15" s="43">
        <f>Item6!D3</f>
        <v>2000</v>
      </c>
      <c r="E15" s="45">
        <f>Item6!E3</f>
        <v>25.05</v>
      </c>
      <c r="F15" s="45">
        <f t="shared" si="0"/>
        <v>50100</v>
      </c>
    </row>
    <row r="16" spans="1:6" ht="76.5">
      <c r="A16" s="43">
        <v>7</v>
      </c>
      <c r="B16" s="44" t="str">
        <f>Item7!B3</f>
        <v>Caneta marca-texto,
Corpo em material plástico,
Ponta em poliéster
Fluorescente, Cor amarela,
Traço de 5 mm, podendo variar para +/- 1mm
Acondicionado em caixas com 12 unidades.</v>
      </c>
      <c r="C16" s="43" t="str">
        <f>Item7!C3</f>
        <v>caixa</v>
      </c>
      <c r="D16" s="43">
        <f>Item7!D3</f>
        <v>300</v>
      </c>
      <c r="E16" s="45">
        <f>Item7!E3</f>
        <v>14.35</v>
      </c>
      <c r="F16" s="45">
        <f t="shared" si="0"/>
        <v>4305</v>
      </c>
    </row>
    <row r="17" spans="1:6" ht="38.25">
      <c r="A17" s="43">
        <v>8</v>
      </c>
      <c r="B17" s="44" t="str">
        <f>Item8!B3</f>
        <v>Marcador Permanente
Ponta chanfrada em fibra, Cor azul.
Acondicionados em caixas com 12 unidades.</v>
      </c>
      <c r="C17" s="43" t="str">
        <f>Item8!C3</f>
        <v>caixa</v>
      </c>
      <c r="D17" s="43">
        <f>Item8!D3</f>
        <v>1000</v>
      </c>
      <c r="E17" s="45">
        <f>Item8!E3</f>
        <v>6.67</v>
      </c>
      <c r="F17" s="45">
        <f t="shared" si="0"/>
        <v>6670</v>
      </c>
    </row>
    <row r="18" spans="1:6" ht="38.25">
      <c r="A18" s="43">
        <v>9</v>
      </c>
      <c r="B18" s="44" t="str">
        <f>Item9!B3</f>
        <v>Tinta para carimbo
cor azul, em frasco com no mínimo 40ml.
Acondicionadas em caixas com 12 unidades</v>
      </c>
      <c r="C18" s="43" t="str">
        <f>Item9!C3</f>
        <v>caixa</v>
      </c>
      <c r="D18" s="43">
        <f>Item9!D3</f>
        <v>300</v>
      </c>
      <c r="E18" s="45">
        <f>Item9!E3</f>
        <v>34.090000000000003</v>
      </c>
      <c r="F18" s="45">
        <f t="shared" si="0"/>
        <v>10227.000000000002</v>
      </c>
    </row>
    <row r="19" spans="1:6" ht="51">
      <c r="A19" s="43">
        <v>10</v>
      </c>
      <c r="B19" s="44" t="str">
        <f>Item10!B3</f>
        <v>Almofada para carimbo
Dimensões mínimas: 5,0 x 9,0cm
Material plástico e esponja absorvente revestida em tecido
Tipo entintada, Cor Azul</v>
      </c>
      <c r="C19" s="43" t="str">
        <f>Item10!C3</f>
        <v>unidade</v>
      </c>
      <c r="D19" s="43">
        <f>Item10!D3</f>
        <v>6250</v>
      </c>
      <c r="E19" s="45">
        <f>Item10!E3</f>
        <v>3.54</v>
      </c>
      <c r="F19" s="45">
        <f t="shared" si="0"/>
        <v>22125</v>
      </c>
    </row>
    <row r="20" spans="1:6" ht="63.75">
      <c r="A20" s="43">
        <v>11</v>
      </c>
      <c r="B20" s="44" t="str">
        <f>Item11!B3</f>
        <v>Grampeador para grampo 26/6,
Comprimento mínimo: 16 cm,
Em metal pintado
Capacidade para grampear simultaneamente, no mínimo, 20 folhas de 75g/m2 cada.
Acondicionados em caixa individual</v>
      </c>
      <c r="C20" s="43" t="str">
        <f>Item11!C3</f>
        <v>unidade</v>
      </c>
      <c r="D20" s="43">
        <f>Item11!D3</f>
        <v>1000</v>
      </c>
      <c r="E20" s="45">
        <f>Item11!E3</f>
        <v>21.23</v>
      </c>
      <c r="F20" s="45">
        <f t="shared" si="0"/>
        <v>21230</v>
      </c>
    </row>
    <row r="21" spans="1:6" ht="63.75">
      <c r="A21" s="43">
        <v>12</v>
      </c>
      <c r="B21" s="44" t="str">
        <f>Item12!B3</f>
        <v>Adesivo instantâneo
À base de cianoacrilato,
Tubo com 5g.
Validade mínima de 11 meses a contar da data de recebimento definitivo.
Acondicionados em embalagem individual</v>
      </c>
      <c r="C21" s="43" t="str">
        <f>Item12!C3</f>
        <v>unidade</v>
      </c>
      <c r="D21" s="43">
        <f>Item12!D3</f>
        <v>200</v>
      </c>
      <c r="E21" s="45">
        <f>Item12!E3</f>
        <v>4.79</v>
      </c>
      <c r="F21" s="45">
        <f t="shared" si="0"/>
        <v>958</v>
      </c>
    </row>
    <row r="22" spans="1:6" ht="76.5">
      <c r="A22" s="43">
        <v>13</v>
      </c>
      <c r="B22" s="44" t="str">
        <f>Item13!B3</f>
        <v>Cola branca,
À base de PVA
Tipo escolar;
Bisnaga com 40g
Validade mínima de 18 meses contados da data de recebimento definitivo.
Acondicionadas em caixas com até 50 unidades.</v>
      </c>
      <c r="C22" s="43" t="str">
        <f>Item13!C3</f>
        <v>unidade</v>
      </c>
      <c r="D22" s="43">
        <f>Item13!D3</f>
        <v>4000</v>
      </c>
      <c r="E22" s="45">
        <f>Item13!E3</f>
        <v>0.87</v>
      </c>
      <c r="F22" s="45">
        <f t="shared" si="0"/>
        <v>3480</v>
      </c>
    </row>
    <row r="23" spans="1:6" ht="102">
      <c r="A23" s="43">
        <v>14</v>
      </c>
      <c r="B23" s="44" t="str">
        <f>Item14!B3</f>
        <v>Estilete
Invólucro em plástico resistente
Lâmina retrátil em aço,
Comprimento mínimo: 18 cm
Com sistema de travamento
Encaixe por pressão
Embalados individualmente,
Acondicionados em embalagem com até 50 un.</v>
      </c>
      <c r="C23" s="43" t="str">
        <f>Item14!C3</f>
        <v>unidade</v>
      </c>
      <c r="D23" s="43">
        <f>Item14!D3</f>
        <v>1000</v>
      </c>
      <c r="E23" s="45">
        <f>Item14!E3</f>
        <v>2.4</v>
      </c>
      <c r="F23" s="45">
        <f t="shared" si="0"/>
        <v>2400</v>
      </c>
    </row>
    <row r="24" spans="1:6" ht="63.75">
      <c r="A24" s="43">
        <v>15</v>
      </c>
      <c r="B24" s="44" t="str">
        <f>Item15!B3</f>
        <v>Clips nº 1
Em aço inox;
Tratamento superficial: niquelado,
Caixa com 100 unidades
Embaladas em embalagem de papelão com até 100 un.</v>
      </c>
      <c r="C24" s="43" t="str">
        <f>Item15!C3</f>
        <v>caixa</v>
      </c>
      <c r="D24" s="43">
        <f>Item15!D3</f>
        <v>3000</v>
      </c>
      <c r="E24" s="45">
        <f>Item15!E3</f>
        <v>2.2799999999999998</v>
      </c>
      <c r="F24" s="45">
        <f t="shared" si="0"/>
        <v>6839.9999999999991</v>
      </c>
    </row>
    <row r="25" spans="1:6" ht="63.75">
      <c r="A25" s="43">
        <v>16</v>
      </c>
      <c r="B25" s="44" t="str">
        <f>Item16!B3</f>
        <v>Clips nº 6
Em aço inox;
Tratamento superficial: niquelado,
Caixa com 50 unidades
Embaladas em embalagem de papelão com até 100 un.</v>
      </c>
      <c r="C25" s="43" t="str">
        <f>Item16!C3</f>
        <v>caixa</v>
      </c>
      <c r="D25" s="43">
        <f>Item16!D3</f>
        <v>1000</v>
      </c>
      <c r="E25" s="45">
        <f>Item16!E3</f>
        <v>2.62</v>
      </c>
      <c r="F25" s="45">
        <f t="shared" si="0"/>
        <v>2620</v>
      </c>
    </row>
    <row r="26" spans="1:6" ht="51">
      <c r="A26" s="43">
        <v>17</v>
      </c>
      <c r="B26" s="44" t="str">
        <f>Item17!B3</f>
        <v>Papel alcalino no formato A4 (210x297mm),
Cor branca,
Gramatura: 75g/m2,
Para impressora a laser</v>
      </c>
      <c r="C26" s="43" t="str">
        <f>Item17!C3</f>
        <v>resma</v>
      </c>
      <c r="D26" s="43">
        <f>Item17!D3</f>
        <v>4362</v>
      </c>
      <c r="E26" s="45">
        <f>Item17!E3</f>
        <v>18.34</v>
      </c>
      <c r="F26" s="45">
        <f t="shared" si="0"/>
        <v>79999.08</v>
      </c>
    </row>
    <row r="27" spans="1:6" ht="38.25">
      <c r="A27" s="43">
        <v>18</v>
      </c>
      <c r="B27" s="44" t="str">
        <f>Item18!B3</f>
        <v>Papel alcalino no formato A3 (297 x 420mm),
Cor branca, alta alvura
Gramatura: 75g/m²</v>
      </c>
      <c r="C27" s="43" t="str">
        <f>Item18!C3</f>
        <v>resma</v>
      </c>
      <c r="D27" s="43">
        <f>Item18!D3</f>
        <v>100</v>
      </c>
      <c r="E27" s="45">
        <f>Item18!E3</f>
        <v>41.42</v>
      </c>
      <c r="F27" s="45">
        <f t="shared" si="0"/>
        <v>4142</v>
      </c>
    </row>
    <row r="28" spans="1:6" ht="51">
      <c r="A28" s="43">
        <v>19</v>
      </c>
      <c r="B28" s="44" t="str">
        <f>Item19!B3</f>
        <v>Pasta suspensa marmorizada
Cartão duplo,
Com etiqueta e plástico para a identificação, e prendedores plásticos.
Acondicionada em embalagens com até 50 unidades</v>
      </c>
      <c r="C28" s="43" t="str">
        <f>Item19!C3</f>
        <v>unidade</v>
      </c>
      <c r="D28" s="43">
        <f>Item19!D3</f>
        <v>2000</v>
      </c>
      <c r="E28" s="45">
        <f>Item19!E3</f>
        <v>3.21</v>
      </c>
      <c r="F28" s="45">
        <f t="shared" si="0"/>
        <v>6420</v>
      </c>
    </row>
    <row r="29" spans="1:6" ht="38.25">
      <c r="A29" s="43">
        <v>20</v>
      </c>
      <c r="B29" s="44" t="str">
        <f>Item20!B3</f>
        <v>Refil para numerador automático de 6 dígitos
Acondicionados em embalagem com até 5 unidades
prazo de validade não inferior a 6 meses, contados da data do recebimento definitivo</v>
      </c>
      <c r="C29" s="43" t="str">
        <f>Item20!C3</f>
        <v>unidade</v>
      </c>
      <c r="D29" s="43">
        <f>Item20!D3</f>
        <v>5</v>
      </c>
      <c r="E29" s="45">
        <f>Item20!E3</f>
        <v>12</v>
      </c>
      <c r="F29" s="45">
        <f t="shared" si="0"/>
        <v>60</v>
      </c>
    </row>
    <row r="30" spans="1:6" ht="89.25">
      <c r="A30" s="43">
        <v>21</v>
      </c>
      <c r="B30" s="44" t="str">
        <f>Item21!B3</f>
        <v>Porta-crachás
Em PVC Cristal
Modelo Vertical
Tamanho: 80 X 120
Espessura: 0,13mm
Com cordão
Acondicionados em embalagem com 100 unidades</v>
      </c>
      <c r="C30" s="43" t="str">
        <f>Item21!C3</f>
        <v>unidade</v>
      </c>
      <c r="D30" s="43">
        <f>Item21!D3</f>
        <v>35337</v>
      </c>
      <c r="E30" s="45">
        <f>Item21!E3</f>
        <v>0.91</v>
      </c>
      <c r="F30" s="45">
        <f t="shared" si="0"/>
        <v>32156.670000000002</v>
      </c>
    </row>
    <row r="31" spans="1:6" ht="114.75">
      <c r="A31" s="43">
        <v>22</v>
      </c>
      <c r="B31" s="44" t="str">
        <f>Item22!B3</f>
        <v>Envelope pardo 
Papel Kraft natural monolúcido 
Dimensões: 36 x 26 cm (±1 cm)
Face externa em alta lisura
Gramatura não inferior a 75 g/m2
Com brasão da República
Inscrição, em cor preta, conforme anexo B.
Conforme modelo disponível na Seção de Gestão de Almoxarifado do TRE-BA
Acondicionados em caixas de papelão com 250 unidades.</v>
      </c>
      <c r="C31" s="43" t="str">
        <f>Item22!C3</f>
        <v>unidade</v>
      </c>
      <c r="D31" s="43">
        <f>Item22!D3</f>
        <v>100000</v>
      </c>
      <c r="E31" s="45">
        <f>Item22!E3</f>
        <v>0.46</v>
      </c>
      <c r="F31" s="45">
        <f t="shared" si="0"/>
        <v>46000</v>
      </c>
    </row>
    <row r="32" spans="1:6" ht="114.75">
      <c r="A32" s="43">
        <v>23</v>
      </c>
      <c r="B32" s="44" t="str">
        <f>Item23!B3</f>
        <v>Envelope pardo
Papel Kraft natural monolúcido
Dimensões: 41 x 31 cm (±1 cm)
Face externa em alta lisura
Gramatura não inferior a 75 g/m2
Com Brasão da República 
Inscrição, em cor preta, conforme anexo B.
Conforme modelo disponível na Seção de Gestão de Almoxarifado do TRE-BA
Acondicionados em caixas de papelão com 250 unidades</v>
      </c>
      <c r="C32" s="43" t="str">
        <f>Item23!C3</f>
        <v>unidade</v>
      </c>
      <c r="D32" s="43">
        <f>Item23!D3</f>
        <v>50000</v>
      </c>
      <c r="E32" s="45">
        <f>Item23!E3</f>
        <v>0.54</v>
      </c>
      <c r="F32" s="45">
        <f t="shared" si="0"/>
        <v>27000</v>
      </c>
    </row>
    <row r="33" spans="1:6" ht="114.75">
      <c r="A33" s="43">
        <v>24</v>
      </c>
      <c r="B33" s="44" t="str">
        <f>Item24!B3</f>
        <v>Envelope pardo 
Papel Kraft natural monolúcido
Dimensões: 28 x 20 cm (±1 cm)
Face externa em alta lisura
Gramatura não inferior a 75 g/m2
Com brasão da República
Inscrição, em cor preta, conforme anexo B.
Conforme modelo disponível na Seção de Gestão de Almoxarifado do TRE-BA
Acondicionados em caixas de papelão com 250 unidades.</v>
      </c>
      <c r="C33" s="43" t="str">
        <f>Item24!C3</f>
        <v>unidade</v>
      </c>
      <c r="D33" s="43">
        <f>Item24!D3</f>
        <v>100000</v>
      </c>
      <c r="E33" s="45">
        <f>Item24!E3</f>
        <v>0.24</v>
      </c>
      <c r="F33" s="45">
        <f t="shared" si="0"/>
        <v>24000</v>
      </c>
    </row>
    <row r="34" spans="1:6" ht="127.5">
      <c r="A34" s="50">
        <v>25</v>
      </c>
      <c r="B34" s="51" t="str">
        <f>Item25!B3</f>
        <v>Caneta esferográfica
Cor azul
Em material plástico,
Ponta em aço inoxidável ou latão, com esfera de tungstênio,
Corpo transparente
Selo de adequação à norma ABNT NBR 15236/2012 – Versão Corrigida 2013.
Acondicionada em caixa com 50 unidades;
Prazo de validade impresso na embalagem, não inferior a 18 meses contados da data do recebimento definitivo.
Marca de Referência: Bic, Compactor, Faber Castell, Pilot, ou similar*</v>
      </c>
      <c r="C34" s="50" t="str">
        <f>Item25!C3</f>
        <v>caixa</v>
      </c>
      <c r="D34" s="50">
        <f>Item25!D3</f>
        <v>3750</v>
      </c>
      <c r="E34" s="52">
        <f>Item25!E3</f>
        <v>28.31</v>
      </c>
      <c r="F34" s="52">
        <f t="shared" si="0"/>
        <v>106162.5</v>
      </c>
    </row>
    <row r="35" spans="1:6" ht="89.25">
      <c r="A35" s="50">
        <v>26</v>
      </c>
      <c r="B35" s="51" t="str">
        <f>Item26!B3</f>
        <v>Etiqueta auto adesiva
Folha em formato carta;
Gramatura 75 g/m2
Cor branca fosca,
06 (seis) etiquetas de tamanho 84,7 x 101,6mm por folha
Acondicionadas em pacotes com 25 folhas, embaladas em plástico transparente. Pacotes acondicionados em caixas.</v>
      </c>
      <c r="C35" s="50" t="str">
        <f>Item26!C3</f>
        <v>pacote</v>
      </c>
      <c r="D35" s="50">
        <f>Item26!D3</f>
        <v>4500</v>
      </c>
      <c r="E35" s="52">
        <f>Item26!E3</f>
        <v>16.54</v>
      </c>
      <c r="F35" s="52">
        <f t="shared" si="0"/>
        <v>74430</v>
      </c>
    </row>
    <row r="36" spans="1:6" ht="51">
      <c r="A36" s="50">
        <v>27</v>
      </c>
      <c r="B36" s="51" t="str">
        <f>Item27!B3</f>
        <v>Almofada para carimbo
Dimensões mínimas: 5,0 x 9,0cm
Material plástico e esponja absorvente revestida em tecido
Tipo entintada, Cor Azul</v>
      </c>
      <c r="C36" s="50" t="str">
        <f>Item27!C3</f>
        <v>unidade</v>
      </c>
      <c r="D36" s="50">
        <f>Item27!D3</f>
        <v>18750</v>
      </c>
      <c r="E36" s="52">
        <f>Item27!E3</f>
        <v>3.54</v>
      </c>
      <c r="F36" s="52">
        <f t="shared" si="0"/>
        <v>66375</v>
      </c>
    </row>
    <row r="37" spans="1:6" ht="51">
      <c r="A37" s="50">
        <v>28</v>
      </c>
      <c r="B37" s="51" t="str">
        <f>Item28!B3</f>
        <v>Papel alcalino no formato A4 (210x297mm),
Cor branca,
Gramatura: 75g/m2,
Para impressora a laser</v>
      </c>
      <c r="C37" s="50" t="str">
        <f>Item28!C3</f>
        <v>resma</v>
      </c>
      <c r="D37" s="50">
        <f>Item28!D3</f>
        <v>23138</v>
      </c>
      <c r="E37" s="52">
        <f>Item28!E3</f>
        <v>18.34</v>
      </c>
      <c r="F37" s="52">
        <f t="shared" si="0"/>
        <v>424350.92</v>
      </c>
    </row>
    <row r="38" spans="1:6" ht="89.25">
      <c r="A38" s="50">
        <v>29</v>
      </c>
      <c r="B38" s="51" t="str">
        <f>Item29!B3</f>
        <v>Porta-crachás
Em PVC Cristal
Modelo Vertical
Tamanho: 80 X 120
Espessura: 0,13mm
Com cordão
Acondicionados em embalagem com 100 unidades</v>
      </c>
      <c r="C38" s="50" t="str">
        <f>Item29!C3</f>
        <v>unidade</v>
      </c>
      <c r="D38" s="50">
        <f>Item29!D3</f>
        <v>106012</v>
      </c>
      <c r="E38" s="52">
        <f>Item29!E3</f>
        <v>0.91</v>
      </c>
      <c r="F38" s="52">
        <f t="shared" ref="F38" si="1">(ROUND(E38,2)*D38)</f>
        <v>96470.92</v>
      </c>
    </row>
    <row r="39" spans="1:6" ht="15.75" customHeight="1">
      <c r="A39" s="46"/>
      <c r="B39" s="46"/>
      <c r="C39" s="65" t="s">
        <v>108</v>
      </c>
      <c r="D39" s="65"/>
      <c r="E39" s="65"/>
      <c r="F39" s="47">
        <f>SUM(F10:F38)</f>
        <v>1236749.4899999998</v>
      </c>
    </row>
  </sheetData>
  <mergeCells count="4">
    <mergeCell ref="A5:F5"/>
    <mergeCell ref="A6:F6"/>
    <mergeCell ref="A8:F8"/>
    <mergeCell ref="C39:E39"/>
  </mergeCells>
  <printOptions horizontalCentered="1"/>
  <pageMargins left="0.51181102362204722" right="0.51181102362204722" top="0.59055118110236227" bottom="0.9055118110236221" header="0.51181102362204722" footer="0.78740157480314965"/>
  <pageSetup paperSize="9" scale="90" firstPageNumber="0" fitToHeight="0" orientation="landscape" horizontalDpi="300" verticalDpi="300" r:id="rId1"/>
  <headerFooter>
    <oddFooter>&amp;L&amp;9Estimativa em &amp;D</oddFooter>
  </headerFooter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61"/>
  <sheetViews>
    <sheetView tabSelected="1" view="pageBreakPreview" topLeftCell="A49" zoomScaleNormal="100" workbookViewId="0">
      <selection activeCell="F61" sqref="F61"/>
    </sheetView>
  </sheetViews>
  <sheetFormatPr defaultColWidth="9.28515625" defaultRowHeight="12.75"/>
  <cols>
    <col min="1" max="1" width="9.140625" style="34" customWidth="1"/>
    <col min="2" max="2" width="86.85546875" style="34" customWidth="1"/>
    <col min="3" max="4" width="13.28515625" style="48" customWidth="1"/>
    <col min="5" max="5" width="13.28515625" style="34" customWidth="1"/>
    <col min="6" max="6" width="15.5703125" style="34" customWidth="1"/>
    <col min="7" max="14" width="9.140625" style="35" customWidth="1"/>
    <col min="15" max="64" width="9.140625" style="34" customWidth="1"/>
  </cols>
  <sheetData>
    <row r="1" spans="1:64" ht="15.75" customHeight="1">
      <c r="A1" s="65" t="s">
        <v>109</v>
      </c>
      <c r="B1" s="65"/>
      <c r="C1" s="65"/>
      <c r="D1" s="65"/>
      <c r="E1" s="65"/>
      <c r="F1" s="6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</row>
    <row r="2" spans="1:64" ht="25.5">
      <c r="A2" s="42" t="s">
        <v>102</v>
      </c>
      <c r="B2" s="42" t="s">
        <v>103</v>
      </c>
      <c r="C2" s="42" t="s">
        <v>104</v>
      </c>
      <c r="D2" s="42" t="s">
        <v>105</v>
      </c>
      <c r="E2" s="42" t="s">
        <v>106</v>
      </c>
      <c r="F2" s="42" t="s">
        <v>107</v>
      </c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</row>
    <row r="3" spans="1:64" ht="17.25">
      <c r="A3" s="49" t="s">
        <v>110</v>
      </c>
      <c r="B3" s="66" t="str">
        <f>Item1!G20</f>
        <v>MIX PAPELARIA EIRELI</v>
      </c>
      <c r="C3" s="66"/>
      <c r="D3" s="66"/>
      <c r="E3" s="66"/>
      <c r="F3" s="66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35"/>
    </row>
    <row r="4" spans="1:64" ht="127.5">
      <c r="A4" s="43">
        <v>1</v>
      </c>
      <c r="B4" s="44" t="str">
        <f>Item1!B3</f>
        <v>Caneta esferográfica
Cor azul
Em material plástico,
Ponta em aço inoxidável ou latão, com esfera de tungstênio,
Corpo transparente
Selo de adequação à norma ABNT NBR 15236/2012 – Versão Corrigida 2013.
Acondicionada em caixa com 50 unidades;
Prazo de validade impresso na embalagem, não inferior a 18 meses contados da data do recebimento definitivo.
Marca de Referência: Bic, Compactor, Faber Castell, Pilot, ou similar*</v>
      </c>
      <c r="C4" s="43" t="str">
        <f>Item1!C3</f>
        <v>caixa</v>
      </c>
      <c r="D4" s="43">
        <f>Item1!D3</f>
        <v>1250</v>
      </c>
      <c r="E4" s="45">
        <f>Item1!F3</f>
        <v>22</v>
      </c>
      <c r="F4" s="45">
        <f>(ROUND(E4,2)*D4)</f>
        <v>27500</v>
      </c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</row>
    <row r="5" spans="1:64" ht="17.25">
      <c r="A5" s="49" t="s">
        <v>110</v>
      </c>
      <c r="B5" s="66" t="str">
        <f>Item2!G20</f>
        <v>A. NETO DOS SANTOS</v>
      </c>
      <c r="C5" s="66"/>
      <c r="D5" s="66"/>
      <c r="E5" s="66"/>
      <c r="F5" s="66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</row>
    <row r="6" spans="1:64" ht="127.5">
      <c r="A6" s="43">
        <v>2</v>
      </c>
      <c r="B6" s="44" t="str">
        <f>Item2!B3</f>
        <v>Caneta esferográfica
Cor vermelha
Em material plástico,
Ponta em aço inoxidável ou latão, com esfera de tungstênio,
Corpo transparente
Selo de adequação à norma ABNT NBR 15236/2012 – Versão Corrigida 2013.
Acondicionada em caixa com 50 unidades;
Prazo de validade impresso na embalagem, não inferior a 18 meses contados da data do recebimento definitivo.
Marca de Referência: Bic, Compactor, Faber Castell, Pilot, ou similar*</v>
      </c>
      <c r="C6" s="43" t="str">
        <f>Item2!C3</f>
        <v>caixa</v>
      </c>
      <c r="D6" s="43">
        <f>Item2!D3</f>
        <v>300</v>
      </c>
      <c r="E6" s="45">
        <f>Item2!F3</f>
        <v>23.47</v>
      </c>
      <c r="F6" s="45">
        <f>(ROUND(E6,2)*D6)</f>
        <v>7041</v>
      </c>
    </row>
    <row r="7" spans="1:64" ht="17.25">
      <c r="A7" s="49" t="s">
        <v>110</v>
      </c>
      <c r="B7" s="66" t="str">
        <f>Item3!G20</f>
        <v>JVG PROJETOS E CONSTRUCOES EIRELI</v>
      </c>
      <c r="C7" s="66"/>
      <c r="D7" s="66"/>
      <c r="E7" s="66"/>
      <c r="F7" s="66"/>
    </row>
    <row r="8" spans="1:64" ht="127.5">
      <c r="A8" s="43">
        <v>3</v>
      </c>
      <c r="B8" s="44" t="str">
        <f>Item3!B3</f>
        <v>Caneta esferográfica
Cor preta.
Em material plástico,
Ponta em aço inoxidável ou latão, com esfera de tungstênio,
Corpo transparente
Selo de adequação à norma ABNT NBR 15236/2012 – Versão Corrigida 2013.
Acondicionada em caixa com 50 unidades;
Prazo de validade impresso na embalagem, não inferior a 18 meses contados da data do recebimento definitivo.
Marca de Referência: Bic, Compactor, Faber Castell, Pilot, ou similar*</v>
      </c>
      <c r="C8" s="43" t="str">
        <f>Item3!C3</f>
        <v>caixa</v>
      </c>
      <c r="D8" s="43">
        <f>Item3!D3</f>
        <v>10</v>
      </c>
      <c r="E8" s="45">
        <f>Item3!F3</f>
        <v>22.65</v>
      </c>
      <c r="F8" s="45">
        <f>(ROUND(E8,2)*D8)</f>
        <v>226.5</v>
      </c>
    </row>
    <row r="9" spans="1:64" ht="12.75" customHeight="1">
      <c r="A9" s="49" t="s">
        <v>110</v>
      </c>
      <c r="B9" s="66" t="str">
        <f>Item4!G20</f>
        <v>PAPELARIA BLAU</v>
      </c>
      <c r="C9" s="66"/>
      <c r="D9" s="66"/>
      <c r="E9" s="66"/>
      <c r="F9" s="66"/>
    </row>
    <row r="10" spans="1:64" ht="89.25">
      <c r="A10" s="43">
        <v>4</v>
      </c>
      <c r="B10" s="44" t="str">
        <f>Item4!B3</f>
        <v>Etiqueta auto adesiva
Folha em formato A4;
Gramatura 75 g/m2
Papel couchê removível;
Cor branca,
Folha contendo 1 etiqueta
Acondicionadas em pacotes com 25 folhas</v>
      </c>
      <c r="C10" s="43" t="str">
        <f>Item4!C3</f>
        <v>pacote</v>
      </c>
      <c r="D10" s="43">
        <f>Item4!D3</f>
        <v>2500</v>
      </c>
      <c r="E10" s="45">
        <f>Item4!F3</f>
        <v>13.68</v>
      </c>
      <c r="F10" s="45">
        <f>(ROUND(E10,2)*D10)</f>
        <v>34200</v>
      </c>
    </row>
    <row r="11" spans="1:64" ht="17.25">
      <c r="A11" s="49" t="s">
        <v>110</v>
      </c>
      <c r="B11" s="66" t="str">
        <f>Item5!G20</f>
        <v>PAPELARIA BLAU</v>
      </c>
      <c r="C11" s="66"/>
      <c r="D11" s="66"/>
      <c r="E11" s="66"/>
      <c r="F11" s="66"/>
    </row>
    <row r="12" spans="1:64" ht="89.25">
      <c r="A12" s="43">
        <v>5</v>
      </c>
      <c r="B12" s="44" t="str">
        <f>Item5!B3</f>
        <v>Etiqueta auto adesiva
Folha em formato carta;
Gramatura 75 g/m2
Cor branca fosca,
06 (seis) etiquetas de tamanho 84,7 x 101,6mm por folha
Acondicionadas em pacotes com 25 folhas, embaladas em plástico transparente. Pacotes acondicionados em caixas.</v>
      </c>
      <c r="C12" s="43" t="str">
        <f>Item5!C3</f>
        <v>pacote</v>
      </c>
      <c r="D12" s="43">
        <f>Item5!D3</f>
        <v>1500</v>
      </c>
      <c r="E12" s="45">
        <f>Item5!F3</f>
        <v>13.68</v>
      </c>
      <c r="F12" s="45">
        <f>(ROUND(E12,2)*D12)</f>
        <v>20520</v>
      </c>
    </row>
    <row r="13" spans="1:64" ht="17.25">
      <c r="A13" s="49" t="s">
        <v>110</v>
      </c>
      <c r="B13" s="66" t="str">
        <f>Item6!G20</f>
        <v>CAMEPEL COMERCIO DE PAPEIS EIRELI</v>
      </c>
      <c r="C13" s="66"/>
      <c r="D13" s="66"/>
      <c r="E13" s="66"/>
      <c r="F13" s="66"/>
    </row>
    <row r="14" spans="1:64" ht="114.75">
      <c r="A14" s="43">
        <v>6</v>
      </c>
      <c r="B14" s="44" t="str">
        <f>Item6!B3</f>
        <v>Etiqueta auto adesiva
Folha em formato Carta;
Gramatura 75 g/m2
Papel couchê removível;
Cor branca,
30 etiquetas de tamanho 25,4 x 66,7mm, por folha.
Admitida variação de  + ou - 0,4 mm por etiqueta.
Acondicionadas em pacotes com 100  folhas, embaladas em plástico transparente. Pacotes acondicionados em caixas.</v>
      </c>
      <c r="C14" s="43" t="str">
        <f>Item6!C3</f>
        <v>pacote</v>
      </c>
      <c r="D14" s="43">
        <f>Item6!D3</f>
        <v>2000</v>
      </c>
      <c r="E14" s="45">
        <f>Item6!F3</f>
        <v>6.13</v>
      </c>
      <c r="F14" s="45">
        <f>(ROUND(E14,2)*D14)</f>
        <v>12260</v>
      </c>
    </row>
    <row r="15" spans="1:64" ht="17.25">
      <c r="A15" s="49" t="s">
        <v>110</v>
      </c>
      <c r="B15" s="66" t="str">
        <f>Item7!G20</f>
        <v>TAMIRES SOUZA SILVA 43321495805</v>
      </c>
      <c r="C15" s="66"/>
      <c r="D15" s="66"/>
      <c r="E15" s="66"/>
      <c r="F15" s="66"/>
    </row>
    <row r="16" spans="1:64" ht="76.5">
      <c r="A16" s="43">
        <v>7</v>
      </c>
      <c r="B16" s="44" t="str">
        <f>Item7!B3</f>
        <v>Caneta marca-texto,
Corpo em material plástico,
Ponta em poliéster
Fluorescente, Cor amarela,
Traço de 5 mm, podendo variar para +/- 1mm
Acondicionado em caixas com 12 unidades.</v>
      </c>
      <c r="C16" s="43" t="str">
        <f>Item7!C3</f>
        <v>caixa</v>
      </c>
      <c r="D16" s="43">
        <f>Item7!D3</f>
        <v>300</v>
      </c>
      <c r="E16" s="45">
        <f>Item7!F3</f>
        <v>6.8333000000000004</v>
      </c>
      <c r="F16" s="45">
        <f>(ROUND(E16,2)*D16)</f>
        <v>2049</v>
      </c>
    </row>
    <row r="17" spans="1:6" ht="17.25">
      <c r="A17" s="49" t="s">
        <v>110</v>
      </c>
      <c r="B17" s="66" t="str">
        <f>Item8!G20</f>
        <v>QUEIROZ PAPEIS LTDA</v>
      </c>
      <c r="C17" s="66"/>
      <c r="D17" s="66"/>
      <c r="E17" s="66"/>
      <c r="F17" s="66"/>
    </row>
    <row r="18" spans="1:6" ht="38.25">
      <c r="A18" s="43">
        <v>8</v>
      </c>
      <c r="B18" s="44" t="str">
        <f>Item8!B3</f>
        <v>Marcador Permanente
Ponta chanfrada em fibra, Cor azul.
Acondicionados em caixas com 12 unidades.</v>
      </c>
      <c r="C18" s="43" t="str">
        <f>Item8!C3</f>
        <v>caixa</v>
      </c>
      <c r="D18" s="43">
        <f>Item8!D3</f>
        <v>1000</v>
      </c>
      <c r="E18" s="45">
        <f>Item8!F3</f>
        <v>1.75</v>
      </c>
      <c r="F18" s="45">
        <f>(ROUND(E18,2)*D18)</f>
        <v>1750</v>
      </c>
    </row>
    <row r="19" spans="1:6" ht="17.25">
      <c r="A19" s="49" t="s">
        <v>110</v>
      </c>
      <c r="B19" s="66" t="str">
        <f>Item9!G20</f>
        <v>M A MACIEL DE CASTRO EIRELI</v>
      </c>
      <c r="C19" s="66"/>
      <c r="D19" s="66"/>
      <c r="E19" s="66"/>
      <c r="F19" s="66"/>
    </row>
    <row r="20" spans="1:6" ht="38.25">
      <c r="A20" s="43">
        <v>9</v>
      </c>
      <c r="B20" s="44" t="str">
        <f>Item9!B3</f>
        <v>Tinta para carimbo
cor azul, em frasco com no mínimo 40ml.
Acondicionadas em caixas com 12 unidades</v>
      </c>
      <c r="C20" s="43" t="str">
        <f>Item9!C3</f>
        <v>caixa</v>
      </c>
      <c r="D20" s="43">
        <f>Item9!D3</f>
        <v>300</v>
      </c>
      <c r="E20" s="45">
        <f>Item9!F3</f>
        <v>5.9</v>
      </c>
      <c r="F20" s="45">
        <f>(ROUND(E20,2)*D20)</f>
        <v>1770</v>
      </c>
    </row>
    <row r="21" spans="1:6" ht="17.25">
      <c r="A21" s="49" t="s">
        <v>110</v>
      </c>
      <c r="B21" s="66" t="str">
        <f>Item10!G20</f>
        <v>LIVRARIA E PAPELARIA PRATICA LTDA</v>
      </c>
      <c r="C21" s="66"/>
      <c r="D21" s="66"/>
      <c r="E21" s="66"/>
      <c r="F21" s="66"/>
    </row>
    <row r="22" spans="1:6" ht="51">
      <c r="A22" s="43">
        <v>10</v>
      </c>
      <c r="B22" s="44" t="str">
        <f>Item10!B3</f>
        <v>Almofada para carimbo
Dimensões mínimas: 5,0 x 9,0cm
Material plástico e esponja absorvente revestida em tecido
Tipo entintada, Cor Azul</v>
      </c>
      <c r="C22" s="43" t="str">
        <f>Item10!C3</f>
        <v>unidade</v>
      </c>
      <c r="D22" s="43">
        <f>Item10!D3</f>
        <v>6250</v>
      </c>
      <c r="E22" s="45">
        <f>Item10!F3</f>
        <v>2.8</v>
      </c>
      <c r="F22" s="45">
        <f>(ROUND(E22,2)*D22)</f>
        <v>17500</v>
      </c>
    </row>
    <row r="23" spans="1:6" ht="17.25">
      <c r="A23" s="49" t="s">
        <v>110</v>
      </c>
      <c r="B23" s="66" t="str">
        <f>Item11!G20</f>
        <v>VL PAPELARIA LIVRARIA E INFORMATICA LTDA</v>
      </c>
      <c r="C23" s="66"/>
      <c r="D23" s="66"/>
      <c r="E23" s="66"/>
      <c r="F23" s="66"/>
    </row>
    <row r="24" spans="1:6" ht="63.75">
      <c r="A24" s="43">
        <v>11</v>
      </c>
      <c r="B24" s="44" t="str">
        <f>Item11!B3</f>
        <v>Grampeador para grampo 26/6,
Comprimento mínimo: 16 cm,
Em metal pintado
Capacidade para grampear simultaneamente, no mínimo, 20 folhas de 75g/m2 cada.
Acondicionados em caixa individual</v>
      </c>
      <c r="C24" s="43" t="str">
        <f>Item11!C3</f>
        <v>unidade</v>
      </c>
      <c r="D24" s="43">
        <f>Item11!D3</f>
        <v>1000</v>
      </c>
      <c r="E24" s="45">
        <f>Item11!F3</f>
        <v>14.5</v>
      </c>
      <c r="F24" s="45">
        <f>(ROUND(E24,2)*D24)</f>
        <v>14500</v>
      </c>
    </row>
    <row r="25" spans="1:6" ht="17.25">
      <c r="A25" s="49" t="s">
        <v>110</v>
      </c>
      <c r="B25" s="66" t="str">
        <f>Item12!G20</f>
        <v>ROSENEIDE DA SILVA 31624995691</v>
      </c>
      <c r="C25" s="66"/>
      <c r="D25" s="66"/>
      <c r="E25" s="66"/>
      <c r="F25" s="66"/>
    </row>
    <row r="26" spans="1:6" ht="63.75">
      <c r="A26" s="43">
        <v>12</v>
      </c>
      <c r="B26" s="44" t="str">
        <f>Item12!B3</f>
        <v>Adesivo instantâneo
À base de cianoacrilato,
Tubo com 5g.
Validade mínima de 11 meses a contar da data de recebimento definitivo.
Acondicionados em embalagem individual</v>
      </c>
      <c r="C26" s="43" t="str">
        <f>Item12!C3</f>
        <v>unidade</v>
      </c>
      <c r="D26" s="43">
        <f>Item12!D3</f>
        <v>200</v>
      </c>
      <c r="E26" s="45">
        <f>Item12!F3</f>
        <v>1.5</v>
      </c>
      <c r="F26" s="45">
        <f>(ROUND(E26,2)*D26)</f>
        <v>300</v>
      </c>
    </row>
    <row r="27" spans="1:6" ht="17.25">
      <c r="A27" s="49" t="s">
        <v>110</v>
      </c>
      <c r="B27" s="66" t="str">
        <f>Item13!G20</f>
        <v>LIVRARIA E PAPELARIA PRATICA LTDA</v>
      </c>
      <c r="C27" s="66"/>
      <c r="D27" s="66"/>
      <c r="E27" s="66"/>
      <c r="F27" s="66"/>
    </row>
    <row r="28" spans="1:6" ht="76.5">
      <c r="A28" s="43">
        <v>13</v>
      </c>
      <c r="B28" s="44" t="str">
        <f>Item13!B3</f>
        <v>Cola branca,
À base de PVA
Tipo escolar;
Bisnaga com 40g
Validade mínima de 18 meses contados da data de recebimento definitivo.
Acondicionadas em caixas com até 50 unidades.</v>
      </c>
      <c r="C28" s="43" t="str">
        <f>Item13!C3</f>
        <v>unidade</v>
      </c>
      <c r="D28" s="43">
        <f>Item13!D3</f>
        <v>4000</v>
      </c>
      <c r="E28" s="45">
        <f>Item13!F3</f>
        <v>0.7</v>
      </c>
      <c r="F28" s="45">
        <f>(ROUND(E28,2)*D28)</f>
        <v>2800</v>
      </c>
    </row>
    <row r="29" spans="1:6" ht="17.25">
      <c r="A29" s="49" t="s">
        <v>110</v>
      </c>
      <c r="B29" s="66" t="str">
        <f>Item14!G20</f>
        <v>EXCLUSIVA SERVICOS E COMERCIO LTDA</v>
      </c>
      <c r="C29" s="66"/>
      <c r="D29" s="66"/>
      <c r="E29" s="66"/>
      <c r="F29" s="66"/>
    </row>
    <row r="30" spans="1:6" ht="102">
      <c r="A30" s="43">
        <v>14</v>
      </c>
      <c r="B30" s="44" t="str">
        <f>Item14!B3</f>
        <v>Estilete
Invólucro em plástico resistente
Lâmina retrátil em aço,
Comprimento mínimo: 18 cm
Com sistema de travamento
Encaixe por pressão
Embalados individualmente,
Acondicionados em embalagem com até 50 un.</v>
      </c>
      <c r="C30" s="43" t="str">
        <f>Item14!C3</f>
        <v>unidade</v>
      </c>
      <c r="D30" s="43">
        <f>Item14!D3</f>
        <v>1000</v>
      </c>
      <c r="E30" s="45">
        <f>Item14!F3</f>
        <v>0.85</v>
      </c>
      <c r="F30" s="45">
        <f>(ROUND(E30,2)*D30)</f>
        <v>850</v>
      </c>
    </row>
    <row r="31" spans="1:6" ht="17.25">
      <c r="A31" s="49" t="s">
        <v>110</v>
      </c>
      <c r="B31" s="66" t="str">
        <f>Item15!G20</f>
        <v>LIVRARIA E PAPELARIA PRATICA LTDA</v>
      </c>
      <c r="C31" s="66"/>
      <c r="D31" s="66"/>
      <c r="E31" s="66"/>
      <c r="F31" s="66"/>
    </row>
    <row r="32" spans="1:6" ht="63.75">
      <c r="A32" s="43">
        <v>15</v>
      </c>
      <c r="B32" s="44" t="str">
        <f>Item15!B3</f>
        <v>Clips nº 1
Em aço inox;
Tratamento superficial: niquelado,
Caixa com 100 unidades
Embaladas em embalagem de papelão com até 100 un.</v>
      </c>
      <c r="C32" s="43" t="str">
        <f>Item15!C3</f>
        <v>caixa</v>
      </c>
      <c r="D32" s="43">
        <f>Item15!D3</f>
        <v>3000</v>
      </c>
      <c r="E32" s="45">
        <f>Item15!F3</f>
        <v>1.78</v>
      </c>
      <c r="F32" s="45">
        <f>(ROUND(E32,2)*D32)</f>
        <v>5340</v>
      </c>
    </row>
    <row r="33" spans="1:6" ht="17.25">
      <c r="A33" s="49" t="s">
        <v>110</v>
      </c>
      <c r="B33" s="66" t="str">
        <f>Item16!G20</f>
        <v>LIVRARIA E PAPELARIA PRATICA LTDA</v>
      </c>
      <c r="C33" s="66"/>
      <c r="D33" s="66"/>
      <c r="E33" s="66"/>
      <c r="F33" s="66"/>
    </row>
    <row r="34" spans="1:6" ht="63.75">
      <c r="A34" s="43">
        <v>16</v>
      </c>
      <c r="B34" s="44" t="str">
        <f>Item16!B3</f>
        <v>Clips nº 6
Em aço inox;
Tratamento superficial: niquelado,
Caixa com 50 unidades
Embaladas em embalagem de papelão com até 100 un.</v>
      </c>
      <c r="C34" s="43" t="str">
        <f>Item16!C3</f>
        <v>caixa</v>
      </c>
      <c r="D34" s="43">
        <f>Item16!D3</f>
        <v>1000</v>
      </c>
      <c r="E34" s="45">
        <f>Item16!F3</f>
        <v>2.25</v>
      </c>
      <c r="F34" s="45">
        <f>(ROUND(E34,2)*D34)</f>
        <v>2250</v>
      </c>
    </row>
    <row r="35" spans="1:6" ht="17.25">
      <c r="A35" s="49" t="s">
        <v>110</v>
      </c>
      <c r="B35" s="66" t="str">
        <f>Item17!G20</f>
        <v>RADIOMED MATERIAIS E SERVICOS LTDA</v>
      </c>
      <c r="C35" s="66"/>
      <c r="D35" s="66"/>
      <c r="E35" s="66"/>
      <c r="F35" s="66"/>
    </row>
    <row r="36" spans="1:6" ht="51">
      <c r="A36" s="43">
        <v>17</v>
      </c>
      <c r="B36" s="44" t="str">
        <f>Item17!B3</f>
        <v>Papel alcalino no formato A4 (210x297mm),
Cor branca,
Gramatura: 75g/m2,
Para impressora a laser</v>
      </c>
      <c r="C36" s="43" t="str">
        <f>Item17!C3</f>
        <v>resma</v>
      </c>
      <c r="D36" s="43">
        <f>Item17!D3</f>
        <v>4362</v>
      </c>
      <c r="E36" s="45">
        <f>Item17!F3</f>
        <v>15.26</v>
      </c>
      <c r="F36" s="45">
        <f>(ROUND(E36,2)*D36)</f>
        <v>66564.12</v>
      </c>
    </row>
    <row r="37" spans="1:6" ht="17.25">
      <c r="A37" s="49" t="s">
        <v>110</v>
      </c>
      <c r="B37" s="66" t="str">
        <f>Item18!G20</f>
        <v>GEARA SOLUCOES COMERCIAIS E SERVICOS LTDA</v>
      </c>
      <c r="C37" s="66"/>
      <c r="D37" s="66"/>
      <c r="E37" s="66"/>
      <c r="F37" s="66"/>
    </row>
    <row r="38" spans="1:6" ht="38.25">
      <c r="A38" s="43">
        <v>18</v>
      </c>
      <c r="B38" s="44" t="str">
        <f>Item18!B3</f>
        <v>Papel alcalino no formato A3 (297 x 420mm),
Cor branca, alta alvura
Gramatura: 75g/m²</v>
      </c>
      <c r="C38" s="43" t="str">
        <f>Item18!C3</f>
        <v>resma</v>
      </c>
      <c r="D38" s="43">
        <f>Item18!D3</f>
        <v>100</v>
      </c>
      <c r="E38" s="45">
        <f>Item18!F3</f>
        <v>20.386900000000001</v>
      </c>
      <c r="F38" s="45">
        <f>(ROUND(E38,2)*D38)</f>
        <v>2039</v>
      </c>
    </row>
    <row r="39" spans="1:6" ht="17.25">
      <c r="A39" s="49" t="s">
        <v>110</v>
      </c>
      <c r="B39" s="66" t="str">
        <f>Item19!G20</f>
        <v>APOGEU COMERCIO E SERVICOS LTDA</v>
      </c>
      <c r="C39" s="66"/>
      <c r="D39" s="66"/>
      <c r="E39" s="66"/>
      <c r="F39" s="66"/>
    </row>
    <row r="40" spans="1:6" ht="51">
      <c r="A40" s="43">
        <v>19</v>
      </c>
      <c r="B40" s="44" t="str">
        <f>Item19!B3</f>
        <v>Pasta suspensa marmorizada
Cartão duplo,
Com etiqueta e plástico para a identificação, e prendedores plásticos.
Acondicionada em embalagens com até 50 unidades</v>
      </c>
      <c r="C40" s="43" t="str">
        <f>Item19!C3</f>
        <v>unidade</v>
      </c>
      <c r="D40" s="43">
        <f>Item19!D3</f>
        <v>2000</v>
      </c>
      <c r="E40" s="45">
        <f>Item19!F3</f>
        <v>0.6</v>
      </c>
      <c r="F40" s="45">
        <f>(ROUND(E40,2)*D40)</f>
        <v>1200</v>
      </c>
    </row>
    <row r="41" spans="1:6" ht="17.25">
      <c r="A41" s="49" t="s">
        <v>110</v>
      </c>
      <c r="B41" s="66" t="str">
        <f>Item20!G20</f>
        <v>FRANCINALDO PEREIRA DE ARAUJO 01116162393</v>
      </c>
      <c r="C41" s="66"/>
      <c r="D41" s="66"/>
      <c r="E41" s="66"/>
      <c r="F41" s="66"/>
    </row>
    <row r="42" spans="1:6" ht="38.25">
      <c r="A42" s="43">
        <v>20</v>
      </c>
      <c r="B42" s="44" t="str">
        <f>Item20!B3</f>
        <v>Refil para numerador automático de 6 dígitos
Acondicionados em embalagem com até 5 unidades
prazo de validade não inferior a 6 meses, contados da data do recebimento definitivo</v>
      </c>
      <c r="C42" s="43" t="str">
        <f>Item20!C3</f>
        <v>unidade</v>
      </c>
      <c r="D42" s="43">
        <f>Item20!D3</f>
        <v>5</v>
      </c>
      <c r="E42" s="45">
        <f>Item20!F3</f>
        <v>8</v>
      </c>
      <c r="F42" s="45">
        <f>(ROUND(E42,2)*D42)</f>
        <v>40</v>
      </c>
    </row>
    <row r="43" spans="1:6" ht="17.25">
      <c r="A43" s="49" t="s">
        <v>110</v>
      </c>
      <c r="B43" s="66" t="str">
        <f>Item21!G20</f>
        <v>GRITZ COMERCIO DE BRINDES E EMBALAGENS - EIRELI</v>
      </c>
      <c r="C43" s="66"/>
      <c r="D43" s="66"/>
      <c r="E43" s="66"/>
      <c r="F43" s="66"/>
    </row>
    <row r="44" spans="1:6" ht="89.25">
      <c r="A44" s="43">
        <v>21</v>
      </c>
      <c r="B44" s="44" t="str">
        <f>Item21!B3</f>
        <v>Porta-crachás
Em PVC Cristal
Modelo Vertical
Tamanho: 80 X 120
Espessura: 0,13mm
Com cordão
Acondicionados em embalagem com 100 unidades</v>
      </c>
      <c r="C44" s="43" t="str">
        <f>Item21!C3</f>
        <v>unidade</v>
      </c>
      <c r="D44" s="43">
        <f>Item21!D3</f>
        <v>35337</v>
      </c>
      <c r="E44" s="45">
        <f>Item21!F3</f>
        <v>0.67</v>
      </c>
      <c r="F44" s="45">
        <f>(ROUND(E44,2)*D44)</f>
        <v>23675.79</v>
      </c>
    </row>
    <row r="45" spans="1:6" ht="17.25">
      <c r="A45" s="49" t="s">
        <v>110</v>
      </c>
      <c r="B45" s="66" t="str">
        <f>Item22!G20</f>
        <v>BOING COMERCIO ATACADISTA DE MATERIAIS LTDA</v>
      </c>
      <c r="C45" s="66"/>
      <c r="D45" s="66"/>
      <c r="E45" s="66"/>
      <c r="F45" s="66"/>
    </row>
    <row r="46" spans="1:6" ht="114.75">
      <c r="A46" s="43">
        <v>22</v>
      </c>
      <c r="B46" s="44" t="str">
        <f>Item22!B3</f>
        <v>Envelope pardo 
Papel Kraft natural monolúcido 
Dimensões: 36 x 26 cm (±1 cm)
Face externa em alta lisura
Gramatura não inferior a 75 g/m2
Com brasão da República
Inscrição, em cor preta, conforme anexo B.
Conforme modelo disponível na Seção de Gestão de Almoxarifado do TRE-BA
Acondicionados em caixas de papelão com 250 unidades.</v>
      </c>
      <c r="C46" s="43" t="str">
        <f>Item22!C3</f>
        <v>unidade</v>
      </c>
      <c r="D46" s="43">
        <f>Item22!D3</f>
        <v>100000</v>
      </c>
      <c r="E46" s="45">
        <f>Item22!F3</f>
        <v>0.25</v>
      </c>
      <c r="F46" s="45">
        <f>(ROUND(E46,2)*D46)</f>
        <v>25000</v>
      </c>
    </row>
    <row r="47" spans="1:6" ht="17.25">
      <c r="A47" s="49" t="s">
        <v>110</v>
      </c>
      <c r="B47" s="66" t="str">
        <f>Item23!G20</f>
        <v>VIPE COMERCIAL EIRELI</v>
      </c>
      <c r="C47" s="66"/>
      <c r="D47" s="66"/>
      <c r="E47" s="66"/>
      <c r="F47" s="66"/>
    </row>
    <row r="48" spans="1:6" ht="114.75">
      <c r="A48" s="43">
        <v>23</v>
      </c>
      <c r="B48" s="44" t="str">
        <f>Item23!B3</f>
        <v>Envelope pardo
Papel Kraft natural monolúcido
Dimensões: 41 x 31 cm (±1 cm)
Face externa em alta lisura
Gramatura não inferior a 75 g/m2
Com Brasão da República 
Inscrição, em cor preta, conforme anexo B.
Conforme modelo disponível na Seção de Gestão de Almoxarifado do TRE-BA
Acondicionados em caixas de papelão com 250 unidades</v>
      </c>
      <c r="C48" s="43" t="str">
        <f>Item23!C3</f>
        <v>unidade</v>
      </c>
      <c r="D48" s="43">
        <f>Item23!D3</f>
        <v>50000</v>
      </c>
      <c r="E48" s="45">
        <f>Item23!F3</f>
        <v>0.17</v>
      </c>
      <c r="F48" s="45">
        <f>(ROUND(E48,2)*D48)</f>
        <v>8500</v>
      </c>
    </row>
    <row r="49" spans="1:6" ht="17.25">
      <c r="A49" s="49" t="s">
        <v>110</v>
      </c>
      <c r="B49" s="66" t="str">
        <f>Item24!G20</f>
        <v>AAZ COMERCIAL EIRELI</v>
      </c>
      <c r="C49" s="66"/>
      <c r="D49" s="66"/>
      <c r="E49" s="66"/>
      <c r="F49" s="66"/>
    </row>
    <row r="50" spans="1:6" ht="114.75">
      <c r="A50" s="43">
        <v>24</v>
      </c>
      <c r="B50" s="44" t="str">
        <f>Item24!B3</f>
        <v>Envelope pardo 
Papel Kraft natural monolúcido
Dimensões: 28 x 20 cm (±1 cm)
Face externa em alta lisura
Gramatura não inferior a 75 g/m2
Com brasão da República
Inscrição, em cor preta, conforme anexo B.
Conforme modelo disponível na Seção de Gestão de Almoxarifado do TRE-BA
Acondicionados em caixas de papelão com 250 unidades.</v>
      </c>
      <c r="C50" s="43" t="str">
        <f>Item24!C3</f>
        <v>unidade</v>
      </c>
      <c r="D50" s="43">
        <f>Item24!D3</f>
        <v>100000</v>
      </c>
      <c r="E50" s="45">
        <f>Item24!F3</f>
        <v>0.17</v>
      </c>
      <c r="F50" s="45">
        <f>(ROUND(E50,2)*D50)</f>
        <v>17000</v>
      </c>
    </row>
    <row r="51" spans="1:6" ht="17.25">
      <c r="A51" s="49" t="s">
        <v>110</v>
      </c>
      <c r="B51" s="66" t="str">
        <f>Item25!G20</f>
        <v>MIX PAPELARIA EIRELI</v>
      </c>
      <c r="C51" s="66"/>
      <c r="D51" s="66"/>
      <c r="E51" s="66"/>
      <c r="F51" s="66"/>
    </row>
    <row r="52" spans="1:6" ht="127.5">
      <c r="A52" s="43">
        <v>25</v>
      </c>
      <c r="B52" s="44" t="str">
        <f>Item25!B3</f>
        <v>Caneta esferográfica
Cor azul
Em material plástico,
Ponta em aço inoxidável ou latão, com esfera de tungstênio,
Corpo transparente
Selo de adequação à norma ABNT NBR 15236/2012 – Versão Corrigida 2013.
Acondicionada em caixa com 50 unidades;
Prazo de validade impresso na embalagem, não inferior a 18 meses contados da data do recebimento definitivo.
Marca de Referência: Bic, Compactor, Faber Castell, Pilot, ou similar*</v>
      </c>
      <c r="C52" s="43" t="str">
        <f>Item25!C3</f>
        <v>caixa</v>
      </c>
      <c r="D52" s="43">
        <f>Item25!D3</f>
        <v>3750</v>
      </c>
      <c r="E52" s="45">
        <f>Item25!F3</f>
        <v>22</v>
      </c>
      <c r="F52" s="45">
        <f>(ROUND(E52,2)*D52)</f>
        <v>82500</v>
      </c>
    </row>
    <row r="53" spans="1:6" ht="17.25">
      <c r="A53" s="49" t="s">
        <v>110</v>
      </c>
      <c r="B53" s="66" t="str">
        <f>Item26!G20</f>
        <v>PAPELARIA BLAU</v>
      </c>
      <c r="C53" s="66"/>
      <c r="D53" s="66"/>
      <c r="E53" s="66"/>
      <c r="F53" s="66"/>
    </row>
    <row r="54" spans="1:6" ht="89.25">
      <c r="A54" s="43">
        <v>26</v>
      </c>
      <c r="B54" s="44" t="str">
        <f>Item26!B3</f>
        <v>Etiqueta auto adesiva
Folha em formato carta;
Gramatura 75 g/m2
Cor branca fosca,
06 (seis) etiquetas de tamanho 84,7 x 101,6mm por folha
Acondicionadas em pacotes com 25 folhas, embaladas em plástico transparente. Pacotes acondicionados em caixas.</v>
      </c>
      <c r="C54" s="43" t="str">
        <f>Item26!C3</f>
        <v>pacote</v>
      </c>
      <c r="D54" s="43">
        <f>Item26!D3</f>
        <v>4500</v>
      </c>
      <c r="E54" s="45">
        <f>Item26!F3</f>
        <v>13.68</v>
      </c>
      <c r="F54" s="45">
        <f>(ROUND(E54,2)*D54)</f>
        <v>61560</v>
      </c>
    </row>
    <row r="55" spans="1:6" ht="17.25">
      <c r="A55" s="49" t="s">
        <v>110</v>
      </c>
      <c r="B55" s="66" t="str">
        <f>Item27!G20</f>
        <v>LIVRARIA E PAPELARIA PRATICA LTDA</v>
      </c>
      <c r="C55" s="66"/>
      <c r="D55" s="66"/>
      <c r="E55" s="66"/>
      <c r="F55" s="66"/>
    </row>
    <row r="56" spans="1:6" ht="51">
      <c r="A56" s="43">
        <v>27</v>
      </c>
      <c r="B56" s="44" t="str">
        <f>Item27!B3</f>
        <v>Almofada para carimbo
Dimensões mínimas: 5,0 x 9,0cm
Material plástico e esponja absorvente revestida em tecido
Tipo entintada, Cor Azul</v>
      </c>
      <c r="C56" s="43" t="str">
        <f>Item27!C3</f>
        <v>unidade</v>
      </c>
      <c r="D56" s="43">
        <f>Item27!D3</f>
        <v>18750</v>
      </c>
      <c r="E56" s="45">
        <f>Item27!F3</f>
        <v>2.8</v>
      </c>
      <c r="F56" s="45">
        <f>(ROUND(E56,2)*D56)</f>
        <v>52500</v>
      </c>
    </row>
    <row r="57" spans="1:6" ht="17.25">
      <c r="A57" s="49" t="s">
        <v>110</v>
      </c>
      <c r="B57" s="66" t="str">
        <f>Item28!G20</f>
        <v>RADIOMED MATERIAIS E SERVICOS LTDA</v>
      </c>
      <c r="C57" s="66"/>
      <c r="D57" s="66"/>
      <c r="E57" s="66"/>
      <c r="F57" s="66"/>
    </row>
    <row r="58" spans="1:6" ht="51">
      <c r="A58" s="43">
        <v>28</v>
      </c>
      <c r="B58" s="44" t="str">
        <f>Item28!B3</f>
        <v>Papel alcalino no formato A4 (210x297mm),
Cor branca,
Gramatura: 75g/m2,
Para impressora a laser</v>
      </c>
      <c r="C58" s="43" t="str">
        <f>Item28!C3</f>
        <v>resma</v>
      </c>
      <c r="D58" s="43">
        <f>Item28!D3</f>
        <v>23138</v>
      </c>
      <c r="E58" s="45">
        <f>Item28!F3</f>
        <v>15.26</v>
      </c>
      <c r="F58" s="45">
        <f>(ROUND(E58,2)*D58)</f>
        <v>353085.88</v>
      </c>
    </row>
    <row r="59" spans="1:6" ht="17.25">
      <c r="A59" s="49" t="s">
        <v>110</v>
      </c>
      <c r="B59" s="66" t="str">
        <f>Item29!G20</f>
        <v>GRITZ COMERCIO DE BRINDES E EMBALAGENS - EIRELI</v>
      </c>
      <c r="C59" s="66"/>
      <c r="D59" s="66"/>
      <c r="E59" s="66"/>
      <c r="F59" s="66"/>
    </row>
    <row r="60" spans="1:6" ht="89.25">
      <c r="A60" s="43">
        <v>29</v>
      </c>
      <c r="B60" s="44" t="str">
        <f>Item29!B3</f>
        <v>Porta-crachás
Em PVC Cristal
Modelo Vertical
Tamanho: 80 X 120
Espessura: 0,13mm
Com cordão
Acondicionados em embalagem com 100 unidades</v>
      </c>
      <c r="C60" s="43" t="str">
        <f>Item29!C3</f>
        <v>unidade</v>
      </c>
      <c r="D60" s="43">
        <f>Item29!D3</f>
        <v>106012</v>
      </c>
      <c r="E60" s="45">
        <f>Item29!F3</f>
        <v>0.67</v>
      </c>
      <c r="F60" s="45">
        <f>(ROUND(E60,2)*D60)</f>
        <v>71028.040000000008</v>
      </c>
    </row>
    <row r="61" spans="1:6" ht="15.75">
      <c r="A61" s="46"/>
      <c r="B61" s="46"/>
      <c r="C61" s="65" t="s">
        <v>111</v>
      </c>
      <c r="D61" s="65"/>
      <c r="E61" s="65"/>
      <c r="F61" s="47">
        <f>SUM(F4:F60)</f>
        <v>915549.33000000007</v>
      </c>
    </row>
  </sheetData>
  <mergeCells count="31">
    <mergeCell ref="A1:F1"/>
    <mergeCell ref="B3:F3"/>
    <mergeCell ref="B5:F5"/>
    <mergeCell ref="B7:F7"/>
    <mergeCell ref="B9:F9"/>
    <mergeCell ref="B11:F11"/>
    <mergeCell ref="B13:F13"/>
    <mergeCell ref="B15:F15"/>
    <mergeCell ref="B17:F17"/>
    <mergeCell ref="B19:F19"/>
    <mergeCell ref="B21:F21"/>
    <mergeCell ref="B23:F23"/>
    <mergeCell ref="B25:F25"/>
    <mergeCell ref="B27:F27"/>
    <mergeCell ref="B29:F29"/>
    <mergeCell ref="B31:F31"/>
    <mergeCell ref="B33:F33"/>
    <mergeCell ref="B35:F35"/>
    <mergeCell ref="B37:F37"/>
    <mergeCell ref="B39:F39"/>
    <mergeCell ref="C61:E61"/>
    <mergeCell ref="B51:F51"/>
    <mergeCell ref="B53:F53"/>
    <mergeCell ref="B55:F55"/>
    <mergeCell ref="B41:F41"/>
    <mergeCell ref="B43:F43"/>
    <mergeCell ref="B45:F45"/>
    <mergeCell ref="B47:F47"/>
    <mergeCell ref="B49:F49"/>
    <mergeCell ref="B57:F57"/>
    <mergeCell ref="B59:F59"/>
  </mergeCells>
  <pageMargins left="0.51181102362204722" right="0.51181102362204722" top="0.78740157480314965" bottom="0.78740157480314965" header="0.51181102362204722" footer="0.51181102362204722"/>
  <pageSetup paperSize="9" scale="91" firstPageNumber="0" fitToHeight="0" orientation="landscape" horizontalDpi="300" verticalDpi="300" r:id="rId1"/>
  <rowBreaks count="3" manualBreakCount="3">
    <brk id="8" max="5" man="1"/>
    <brk id="42" max="5" man="1"/>
    <brk id="58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18" sqref="D1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32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118</v>
      </c>
      <c r="C3" s="60" t="s">
        <v>117</v>
      </c>
      <c r="D3" s="61">
        <f>6000*0.25</f>
        <v>1500</v>
      </c>
      <c r="E3" s="62">
        <f>IF(C20&lt;=25%,D20,MIN(E20:F20))</f>
        <v>16.54</v>
      </c>
      <c r="F3" s="62">
        <f>MIN(H3:H17)</f>
        <v>13.68</v>
      </c>
      <c r="G3" s="6" t="s">
        <v>11</v>
      </c>
      <c r="H3" s="7">
        <v>14.45</v>
      </c>
      <c r="I3" s="8">
        <f t="shared" ref="I3:I17" si="0">IF(H3="","",(IF($C$20&lt;25%,"N/A",IF(H3&lt;=($D$20+$A$20),H3,"Descartado"))))</f>
        <v>14.45</v>
      </c>
    </row>
    <row r="4" spans="1:9">
      <c r="A4" s="58"/>
      <c r="B4" s="59"/>
      <c r="C4" s="60"/>
      <c r="D4" s="61"/>
      <c r="E4" s="62"/>
      <c r="F4" s="62"/>
      <c r="G4" s="6" t="s">
        <v>255</v>
      </c>
      <c r="H4" s="7">
        <v>27.9</v>
      </c>
      <c r="I4" s="8" t="str">
        <f t="shared" si="0"/>
        <v>Descartado</v>
      </c>
    </row>
    <row r="5" spans="1:9">
      <c r="A5" s="58"/>
      <c r="B5" s="59"/>
      <c r="C5" s="60"/>
      <c r="D5" s="61"/>
      <c r="E5" s="62"/>
      <c r="F5" s="62"/>
      <c r="G5" s="6" t="s">
        <v>254</v>
      </c>
      <c r="H5" s="7">
        <v>13.68</v>
      </c>
      <c r="I5" s="8">
        <f t="shared" si="0"/>
        <v>13.68</v>
      </c>
    </row>
    <row r="6" spans="1:9">
      <c r="A6" s="58"/>
      <c r="B6" s="59"/>
      <c r="C6" s="60"/>
      <c r="D6" s="61"/>
      <c r="E6" s="62"/>
      <c r="F6" s="62"/>
      <c r="G6" s="6" t="s">
        <v>256</v>
      </c>
      <c r="H6" s="7">
        <v>21.5</v>
      </c>
      <c r="I6" s="8">
        <f t="shared" si="0"/>
        <v>21.5</v>
      </c>
    </row>
    <row r="7" spans="1:9">
      <c r="A7" s="58"/>
      <c r="B7" s="59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8"/>
      <c r="B8" s="59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8"/>
      <c r="B9" s="59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6.6803112452439892</v>
      </c>
      <c r="B20" s="19">
        <f>COUNT(H3:H17)</f>
        <v>4</v>
      </c>
      <c r="C20" s="20">
        <f>IF(B20&lt;2,"N/A",(A20/D20))</f>
        <v>0.34470130264416871</v>
      </c>
      <c r="D20" s="21">
        <f>ROUND(AVERAGE(H3:H17),2)</f>
        <v>19.38</v>
      </c>
      <c r="E20" s="22">
        <f>IFERROR(ROUND(IF(B20&lt;2,"N/A",(IF(C20&lt;=25%,"N/A",AVERAGE(I3:I17)))),2),"N/A")</f>
        <v>16.54</v>
      </c>
      <c r="F20" s="22">
        <f>ROUND(MEDIAN(H3:H17),2)</f>
        <v>17.98</v>
      </c>
      <c r="G20" s="23" t="str">
        <f>INDEX(G3:G17,MATCH(H20,H3:H17,0))</f>
        <v>PAPELARIA BLAU</v>
      </c>
      <c r="H20" s="24">
        <f>MIN(H3:H17)</f>
        <v>13.68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16.54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24810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18" sqref="D1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33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119</v>
      </c>
      <c r="C3" s="60" t="s">
        <v>117</v>
      </c>
      <c r="D3" s="61">
        <v>2000</v>
      </c>
      <c r="E3" s="62">
        <f>IF(C20&lt;=25%,D20,MIN(E20:F20))</f>
        <v>25.05</v>
      </c>
      <c r="F3" s="62">
        <f>MIN(H3:H17)</f>
        <v>6.13</v>
      </c>
      <c r="G3" s="6" t="s">
        <v>166</v>
      </c>
      <c r="H3" s="7">
        <v>6.13</v>
      </c>
      <c r="I3" s="8">
        <f t="shared" ref="I3:I17" si="0">IF(H3="","",(IF($C$20&lt;25%,"N/A",IF(H3&lt;=($D$20+$A$20),H3,"Descartado"))))</f>
        <v>6.13</v>
      </c>
    </row>
    <row r="4" spans="1:9">
      <c r="A4" s="58"/>
      <c r="B4" s="59"/>
      <c r="C4" s="60"/>
      <c r="D4" s="61"/>
      <c r="E4" s="62"/>
      <c r="F4" s="62"/>
      <c r="G4" s="6" t="s">
        <v>167</v>
      </c>
      <c r="H4" s="7">
        <v>23.61</v>
      </c>
      <c r="I4" s="8">
        <f t="shared" si="0"/>
        <v>23.61</v>
      </c>
    </row>
    <row r="5" spans="1:9">
      <c r="A5" s="58"/>
      <c r="B5" s="59"/>
      <c r="C5" s="60"/>
      <c r="D5" s="61"/>
      <c r="E5" s="62"/>
      <c r="F5" s="62"/>
      <c r="G5" s="6" t="s">
        <v>168</v>
      </c>
      <c r="H5" s="7">
        <v>27.2</v>
      </c>
      <c r="I5" s="8">
        <f t="shared" si="0"/>
        <v>27.2</v>
      </c>
    </row>
    <row r="6" spans="1:9">
      <c r="A6" s="58"/>
      <c r="B6" s="59"/>
      <c r="C6" s="60"/>
      <c r="D6" s="61"/>
      <c r="E6" s="62"/>
      <c r="F6" s="62"/>
      <c r="G6" s="6" t="s">
        <v>169</v>
      </c>
      <c r="H6" s="7">
        <v>29.34</v>
      </c>
      <c r="I6" s="8">
        <f t="shared" si="0"/>
        <v>29.34</v>
      </c>
    </row>
    <row r="7" spans="1:9">
      <c r="A7" s="58"/>
      <c r="B7" s="59"/>
      <c r="C7" s="60"/>
      <c r="D7" s="61"/>
      <c r="E7" s="62"/>
      <c r="F7" s="62"/>
      <c r="G7" s="6" t="s">
        <v>170</v>
      </c>
      <c r="H7" s="7">
        <v>31</v>
      </c>
      <c r="I7" s="8">
        <f t="shared" si="0"/>
        <v>31</v>
      </c>
    </row>
    <row r="8" spans="1:9">
      <c r="A8" s="58"/>
      <c r="B8" s="59"/>
      <c r="C8" s="60"/>
      <c r="D8" s="61"/>
      <c r="E8" s="62"/>
      <c r="F8" s="62"/>
      <c r="G8" s="6" t="s">
        <v>171</v>
      </c>
      <c r="H8" s="7">
        <v>32.99</v>
      </c>
      <c r="I8" s="8">
        <f t="shared" si="0"/>
        <v>32.99</v>
      </c>
    </row>
    <row r="9" spans="1:9">
      <c r="A9" s="58"/>
      <c r="B9" s="59"/>
      <c r="C9" s="60"/>
      <c r="D9" s="61"/>
      <c r="E9" s="62"/>
      <c r="F9" s="62"/>
      <c r="G9" s="6" t="s">
        <v>172</v>
      </c>
      <c r="H9" s="7">
        <v>64.63</v>
      </c>
      <c r="I9" s="8" t="str">
        <f t="shared" si="0"/>
        <v>Descartado</v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17.438614241580851</v>
      </c>
      <c r="B20" s="19">
        <f>COUNT(H3:H17)</f>
        <v>7</v>
      </c>
      <c r="C20" s="20">
        <f>IF(B20&lt;2,"N/A",(A20/D20))</f>
        <v>0.56803303718504405</v>
      </c>
      <c r="D20" s="21">
        <f>ROUND(AVERAGE(H3:H17),2)</f>
        <v>30.7</v>
      </c>
      <c r="E20" s="22">
        <f>IFERROR(ROUND(IF(B20&lt;2,"N/A",(IF(C20&lt;=25%,"N/A",AVERAGE(I3:I17)))),2),"N/A")</f>
        <v>25.05</v>
      </c>
      <c r="F20" s="22">
        <f>ROUND(MEDIAN(H3:H17),2)</f>
        <v>29.34</v>
      </c>
      <c r="G20" s="23" t="str">
        <f>INDEX(G3:G17,MATCH(H20,H3:H17,0))</f>
        <v>CAMEPEL COMERCIO DE PAPEIS EIRELI</v>
      </c>
      <c r="H20" s="24">
        <f>MIN(H3:H17)</f>
        <v>6.13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25.05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50100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3" sqref="G13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34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120</v>
      </c>
      <c r="C3" s="60" t="s">
        <v>113</v>
      </c>
      <c r="D3" s="61">
        <v>300</v>
      </c>
      <c r="E3" s="62">
        <f>IF(C20&lt;=25%,D20,MIN(E20:F20))</f>
        <v>14.35</v>
      </c>
      <c r="F3" s="62">
        <f>MIN(H3:H17)</f>
        <v>6.8333000000000004</v>
      </c>
      <c r="G3" s="6" t="s">
        <v>143</v>
      </c>
      <c r="H3" s="7">
        <v>6.8333000000000004</v>
      </c>
      <c r="I3" s="8">
        <f t="shared" ref="I3:I17" si="0">IF(H3="","",(IF($C$20&lt;25%,"N/A",IF(H3&lt;=($D$20+$A$20),H3,"Descartado"))))</f>
        <v>6.8333000000000004</v>
      </c>
    </row>
    <row r="4" spans="1:9">
      <c r="A4" s="58"/>
      <c r="B4" s="59"/>
      <c r="C4" s="60"/>
      <c r="D4" s="61"/>
      <c r="E4" s="62"/>
      <c r="F4" s="62"/>
      <c r="G4" s="6" t="s">
        <v>144</v>
      </c>
      <c r="H4" s="7">
        <v>10.45</v>
      </c>
      <c r="I4" s="8">
        <f t="shared" si="0"/>
        <v>10.45</v>
      </c>
    </row>
    <row r="5" spans="1:9">
      <c r="A5" s="58"/>
      <c r="B5" s="59"/>
      <c r="C5" s="60"/>
      <c r="D5" s="61"/>
      <c r="E5" s="62"/>
      <c r="F5" s="62"/>
      <c r="G5" s="6" t="s">
        <v>145</v>
      </c>
      <c r="H5" s="7">
        <v>14.39</v>
      </c>
      <c r="I5" s="8">
        <f t="shared" si="0"/>
        <v>14.39</v>
      </c>
    </row>
    <row r="6" spans="1:9">
      <c r="A6" s="58"/>
      <c r="B6" s="59"/>
      <c r="C6" s="60"/>
      <c r="D6" s="61"/>
      <c r="E6" s="62"/>
      <c r="F6" s="62"/>
      <c r="G6" s="6" t="s">
        <v>146</v>
      </c>
      <c r="H6" s="7">
        <v>14.9</v>
      </c>
      <c r="I6" s="8">
        <f t="shared" si="0"/>
        <v>14.9</v>
      </c>
    </row>
    <row r="7" spans="1:9">
      <c r="A7" s="58"/>
      <c r="B7" s="59"/>
      <c r="C7" s="60"/>
      <c r="D7" s="61"/>
      <c r="E7" s="62"/>
      <c r="F7" s="62"/>
      <c r="G7" s="6" t="s">
        <v>147</v>
      </c>
      <c r="H7" s="7">
        <v>15</v>
      </c>
      <c r="I7" s="8">
        <f t="shared" si="0"/>
        <v>15</v>
      </c>
    </row>
    <row r="8" spans="1:9">
      <c r="A8" s="58"/>
      <c r="B8" s="59"/>
      <c r="C8" s="60"/>
      <c r="D8" s="61"/>
      <c r="E8" s="62"/>
      <c r="F8" s="62"/>
      <c r="G8" s="6" t="s">
        <v>148</v>
      </c>
      <c r="H8" s="7">
        <v>17.440000000000001</v>
      </c>
      <c r="I8" s="8">
        <f t="shared" si="0"/>
        <v>17.440000000000001</v>
      </c>
    </row>
    <row r="9" spans="1:9">
      <c r="A9" s="58"/>
      <c r="B9" s="59"/>
      <c r="C9" s="60"/>
      <c r="D9" s="61"/>
      <c r="E9" s="62"/>
      <c r="F9" s="62"/>
      <c r="G9" s="6" t="s">
        <v>149</v>
      </c>
      <c r="H9" s="7">
        <v>17.760000000000002</v>
      </c>
      <c r="I9" s="8">
        <f t="shared" si="0"/>
        <v>17.760000000000002</v>
      </c>
    </row>
    <row r="10" spans="1:9">
      <c r="A10" s="58"/>
      <c r="B10" s="59"/>
      <c r="C10" s="60"/>
      <c r="D10" s="61"/>
      <c r="E10" s="62"/>
      <c r="F10" s="62"/>
      <c r="G10" s="6" t="s">
        <v>150</v>
      </c>
      <c r="H10" s="7">
        <v>18</v>
      </c>
      <c r="I10" s="8">
        <f t="shared" si="0"/>
        <v>18</v>
      </c>
    </row>
    <row r="11" spans="1:9">
      <c r="A11" s="58"/>
      <c r="B11" s="59"/>
      <c r="C11" s="60"/>
      <c r="D11" s="61"/>
      <c r="E11" s="62"/>
      <c r="F11" s="62"/>
      <c r="G11" s="6" t="s">
        <v>151</v>
      </c>
      <c r="H11" s="7">
        <v>55</v>
      </c>
      <c r="I11" s="8" t="str">
        <f t="shared" si="0"/>
        <v>Descartado</v>
      </c>
    </row>
    <row r="12" spans="1:9">
      <c r="A12" s="58"/>
      <c r="B12" s="59"/>
      <c r="C12" s="60"/>
      <c r="D12" s="61"/>
      <c r="E12" s="62"/>
      <c r="F12" s="62"/>
      <c r="G12" s="6" t="s">
        <v>152</v>
      </c>
      <c r="H12" s="7">
        <v>55</v>
      </c>
      <c r="I12" s="8" t="str">
        <f t="shared" si="0"/>
        <v>Descartado</v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17.484107544348188</v>
      </c>
      <c r="B20" s="19">
        <f>COUNT(H3:H17)</f>
        <v>10</v>
      </c>
      <c r="C20" s="20">
        <f>IF(B20&lt;2,"N/A",(A20/D20))</f>
        <v>0.77776279111869162</v>
      </c>
      <c r="D20" s="21">
        <f>ROUND(AVERAGE(H3:H17),2)</f>
        <v>22.48</v>
      </c>
      <c r="E20" s="22">
        <f>IFERROR(ROUND(IF(B20&lt;2,"N/A",(IF(C20&lt;=25%,"N/A",AVERAGE(I3:I17)))),2),"N/A")</f>
        <v>14.35</v>
      </c>
      <c r="F20" s="22">
        <f>ROUND(MEDIAN(H3:H17),2)</f>
        <v>16.22</v>
      </c>
      <c r="G20" s="23" t="str">
        <f>INDEX(G3:G17,MATCH(H20,H3:H17,0))</f>
        <v>TAMIRES SOUZA SILVA 43321495805</v>
      </c>
      <c r="H20" s="24">
        <f>MIN(H3:H17)</f>
        <v>6.8333000000000004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14.35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4305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7" sqref="G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35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121</v>
      </c>
      <c r="C3" s="60" t="s">
        <v>113</v>
      </c>
      <c r="D3" s="61">
        <v>1000</v>
      </c>
      <c r="E3" s="62">
        <f>IF(C20&lt;=25%,D20,MIN(E20:F20))</f>
        <v>6.67</v>
      </c>
      <c r="F3" s="62">
        <f>MIN(H3:H17)</f>
        <v>1.75</v>
      </c>
      <c r="G3" s="6" t="s">
        <v>158</v>
      </c>
      <c r="H3" s="7">
        <v>1.75</v>
      </c>
      <c r="I3" s="8">
        <f t="shared" ref="I3:I17" si="0">IF(H3="","",(IF($C$20&lt;25%,"N/A",IF(H3&lt;=($D$20+$A$20),H3,"Descartado"))))</f>
        <v>1.75</v>
      </c>
    </row>
    <row r="4" spans="1:9">
      <c r="A4" s="58"/>
      <c r="B4" s="59"/>
      <c r="C4" s="60"/>
      <c r="D4" s="61"/>
      <c r="E4" s="62"/>
      <c r="F4" s="62"/>
      <c r="G4" s="6" t="s">
        <v>159</v>
      </c>
      <c r="H4" s="7">
        <v>4.25</v>
      </c>
      <c r="I4" s="8">
        <f t="shared" si="0"/>
        <v>4.25</v>
      </c>
    </row>
    <row r="5" spans="1:9">
      <c r="A5" s="58"/>
      <c r="B5" s="59"/>
      <c r="C5" s="60"/>
      <c r="D5" s="61"/>
      <c r="E5" s="62"/>
      <c r="F5" s="62"/>
      <c r="G5" s="6" t="s">
        <v>147</v>
      </c>
      <c r="H5" s="7">
        <v>14</v>
      </c>
      <c r="I5" s="8">
        <f t="shared" si="0"/>
        <v>14</v>
      </c>
    </row>
    <row r="6" spans="1:9">
      <c r="A6" s="58"/>
      <c r="B6" s="59"/>
      <c r="C6" s="60"/>
      <c r="D6" s="61"/>
      <c r="E6" s="62"/>
      <c r="F6" s="62"/>
      <c r="G6" s="6" t="s">
        <v>160</v>
      </c>
      <c r="H6" s="7">
        <v>31</v>
      </c>
      <c r="I6" s="8" t="str">
        <f t="shared" si="0"/>
        <v>Descartado</v>
      </c>
    </row>
    <row r="7" spans="1:9">
      <c r="A7" s="58"/>
      <c r="B7" s="59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8"/>
      <c r="B8" s="59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8"/>
      <c r="B9" s="59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13.26492869688086</v>
      </c>
      <c r="B20" s="19">
        <f>COUNT(H3:H17)</f>
        <v>4</v>
      </c>
      <c r="C20" s="20">
        <f>IF(B20&lt;2,"N/A",(A20/D20))</f>
        <v>1.040386564461244</v>
      </c>
      <c r="D20" s="21">
        <f>ROUND(AVERAGE(H3:H17),2)</f>
        <v>12.75</v>
      </c>
      <c r="E20" s="22">
        <f>IFERROR(ROUND(IF(B20&lt;2,"N/A",(IF(C20&lt;=25%,"N/A",AVERAGE(I3:I17)))),2),"N/A")</f>
        <v>6.67</v>
      </c>
      <c r="F20" s="22">
        <f>ROUND(MEDIAN(H3:H17),2)</f>
        <v>9.1300000000000008</v>
      </c>
      <c r="G20" s="23" t="str">
        <f>INDEX(G3:G17,MATCH(H20,H3:H17,0))</f>
        <v>QUEIROZ PAPEIS LTDA</v>
      </c>
      <c r="H20" s="24">
        <f>MIN(H3:H17)</f>
        <v>1.75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6.67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6670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H9" sqref="H9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9" ht="25.5">
      <c r="A2" s="58" t="s">
        <v>36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8"/>
      <c r="B3" s="59" t="s">
        <v>122</v>
      </c>
      <c r="C3" s="60" t="s">
        <v>113</v>
      </c>
      <c r="D3" s="61">
        <v>300</v>
      </c>
      <c r="E3" s="62">
        <f>IF(C20&lt;=25%,D20,MIN(E20:F20))</f>
        <v>34.090000000000003</v>
      </c>
      <c r="F3" s="62">
        <f>MIN(H3:H17)</f>
        <v>5.9</v>
      </c>
      <c r="G3" s="6" t="s">
        <v>179</v>
      </c>
      <c r="H3" s="7">
        <v>5.9</v>
      </c>
      <c r="I3" s="8">
        <f t="shared" ref="I3:I17" si="0">IF(H3="","",(IF($C$20&lt;25%,"N/A",IF(H3&lt;=($D$20+$A$20),H3,"Descartado"))))</f>
        <v>5.9</v>
      </c>
    </row>
    <row r="4" spans="1:9">
      <c r="A4" s="58"/>
      <c r="B4" s="59"/>
      <c r="C4" s="60"/>
      <c r="D4" s="61"/>
      <c r="E4" s="62"/>
      <c r="F4" s="62"/>
      <c r="G4" s="6" t="s">
        <v>148</v>
      </c>
      <c r="H4" s="7">
        <v>36.75</v>
      </c>
      <c r="I4" s="8">
        <f t="shared" si="0"/>
        <v>36.75</v>
      </c>
    </row>
    <row r="5" spans="1:9">
      <c r="A5" s="58"/>
      <c r="B5" s="59"/>
      <c r="C5" s="60"/>
      <c r="D5" s="61"/>
      <c r="E5" s="62"/>
      <c r="F5" s="62"/>
      <c r="G5" s="6" t="s">
        <v>180</v>
      </c>
      <c r="H5" s="7">
        <v>84</v>
      </c>
      <c r="I5" s="8" t="str">
        <f t="shared" si="0"/>
        <v>Descartado</v>
      </c>
    </row>
    <row r="6" spans="1:9">
      <c r="A6" s="58"/>
      <c r="B6" s="59"/>
      <c r="C6" s="60"/>
      <c r="D6" s="61"/>
      <c r="E6" s="62"/>
      <c r="F6" s="62"/>
      <c r="G6" s="6" t="s">
        <v>257</v>
      </c>
      <c r="H6" s="7">
        <v>63.57</v>
      </c>
      <c r="I6" s="8">
        <f t="shared" si="0"/>
        <v>63.57</v>
      </c>
    </row>
    <row r="7" spans="1:9">
      <c r="A7" s="58"/>
      <c r="B7" s="59"/>
      <c r="C7" s="60"/>
      <c r="D7" s="61"/>
      <c r="E7" s="62"/>
      <c r="F7" s="62"/>
      <c r="G7" s="6" t="s">
        <v>29</v>
      </c>
      <c r="H7" s="7">
        <v>24.17</v>
      </c>
      <c r="I7" s="8">
        <f t="shared" si="0"/>
        <v>24.17</v>
      </c>
    </row>
    <row r="8" spans="1:9">
      <c r="A8" s="58"/>
      <c r="B8" s="59"/>
      <c r="C8" s="60"/>
      <c r="D8" s="61"/>
      <c r="E8" s="62"/>
      <c r="F8" s="62"/>
      <c r="G8" s="6" t="s">
        <v>258</v>
      </c>
      <c r="H8" s="7">
        <v>40.08</v>
      </c>
      <c r="I8" s="8">
        <f t="shared" si="0"/>
        <v>40.08</v>
      </c>
    </row>
    <row r="9" spans="1:9">
      <c r="A9" s="58"/>
      <c r="B9" s="59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8"/>
      <c r="B10" s="59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8"/>
      <c r="B11" s="59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8"/>
      <c r="B12" s="59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8"/>
      <c r="B13" s="59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8"/>
      <c r="B14" s="59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8"/>
      <c r="B15" s="59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8"/>
      <c r="B16" s="59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8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5" t="s">
        <v>18</v>
      </c>
      <c r="H19" s="55"/>
      <c r="I19" s="18"/>
    </row>
    <row r="20" spans="1:11">
      <c r="A20" s="19">
        <f>IF(B20&lt;2,"N/A",(STDEV(H3:H17)))</f>
        <v>27.858987358959542</v>
      </c>
      <c r="B20" s="19">
        <f>COUNT(H3:H17)</f>
        <v>6</v>
      </c>
      <c r="C20" s="20">
        <f>IF(B20&lt;2,"N/A",(A20/D20))</f>
        <v>0.65689666019711257</v>
      </c>
      <c r="D20" s="21">
        <f>ROUND(AVERAGE(H3:H17),2)</f>
        <v>42.41</v>
      </c>
      <c r="E20" s="22">
        <f>IFERROR(ROUND(IF(B20&lt;2,"N/A",(IF(C20&lt;=25%,"N/A",AVERAGE(I3:I17)))),2),"N/A")</f>
        <v>34.090000000000003</v>
      </c>
      <c r="F20" s="22">
        <f>ROUND(MEDIAN(H3:H17),2)</f>
        <v>38.42</v>
      </c>
      <c r="G20" s="23" t="str">
        <f>INDEX(G3:G17,MATCH(H20,H3:H17,0))</f>
        <v>M A MACIEL DE CASTRO EIRELI</v>
      </c>
      <c r="H20" s="24">
        <f>MIN(H3:H17)</f>
        <v>5.9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19</v>
      </c>
      <c r="H22" s="32">
        <f>IF(C20&lt;=25%,D20,MIN(E20:F20))</f>
        <v>34.090000000000003</v>
      </c>
    </row>
    <row r="23" spans="1:11">
      <c r="B23" s="25"/>
      <c r="C23" s="25"/>
      <c r="D23" s="56"/>
      <c r="E23" s="56"/>
      <c r="F23" s="33"/>
      <c r="G23" s="4" t="s">
        <v>20</v>
      </c>
      <c r="H23" s="24">
        <f>ROUND(H22,2)*D3</f>
        <v>10227.000000000002</v>
      </c>
    </row>
    <row r="24" spans="1:11">
      <c r="B24" s="29"/>
      <c r="C24" s="29"/>
      <c r="D24" s="18"/>
      <c r="E24" s="18"/>
    </row>
    <row r="26" spans="1:11" ht="12.75" customHeight="1">
      <c r="A26" s="53" t="s">
        <v>21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22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23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24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25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26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27</v>
      </c>
      <c r="B32" s="54"/>
      <c r="C32" s="54"/>
      <c r="D32" s="54"/>
      <c r="E32" s="54"/>
      <c r="F32" s="54"/>
      <c r="G32" s="54"/>
      <c r="H32" s="54"/>
      <c r="I32" s="54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46</vt:i4>
      </vt:variant>
      <vt:variant>
        <vt:lpstr>Intervalos nomeados</vt:lpstr>
      </vt:variant>
      <vt:variant>
        <vt:i4>6</vt:i4>
      </vt:variant>
    </vt:vector>
  </HeadingPairs>
  <TitlesOfParts>
    <vt:vector size="52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Item40</vt:lpstr>
      <vt:lpstr>Item41</vt:lpstr>
      <vt:lpstr>Item42</vt:lpstr>
      <vt:lpstr>Item43</vt:lpstr>
      <vt:lpstr>Item44</vt:lpstr>
      <vt:lpstr>Item45</vt:lpstr>
      <vt:lpstr>Item46</vt:lpstr>
      <vt:lpstr>Item47</vt:lpstr>
      <vt:lpstr>Item48</vt:lpstr>
      <vt:lpstr>Item49</vt:lpstr>
      <vt:lpstr>Item50</vt:lpstr>
      <vt:lpstr>TOTAL</vt:lpstr>
      <vt:lpstr>menores</vt:lpstr>
      <vt:lpstr>menores!Area_de_impressao</vt:lpstr>
      <vt:lpstr>TOTAL!Area_de_impressao</vt:lpstr>
      <vt:lpstr>TOTAL!Print_Area_0</vt:lpstr>
      <vt:lpstr>TOTAL!Print_Area_0_0</vt:lpstr>
      <vt:lpstr>menores!Titulos_de_impressao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revision>42</cp:revision>
  <cp:lastPrinted>2022-06-06T16:48:43Z</cp:lastPrinted>
  <dcterms:created xsi:type="dcterms:W3CDTF">2019-01-16T20:04:04Z</dcterms:created>
  <dcterms:modified xsi:type="dcterms:W3CDTF">2022-07-04T16:13:25Z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