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76" firstSheet="6" activeTab="16"/>
  </bookViews>
  <sheets>
    <sheet name="serv" sheetId="1" r:id="rId1"/>
    <sheet name="jard" sheetId="2" r:id="rId2"/>
    <sheet name="auxjard" sheetId="3" r:id="rId3"/>
    <sheet name="superv" sheetId="4" r:id="rId4"/>
    <sheet name="cabturm" sheetId="5" r:id="rId5"/>
    <sheet name="servextra" sheetId="6" r:id="rId6"/>
    <sheet name="heserv_agoset" sheetId="7" r:id="rId7"/>
    <sheet name="hesuperv_agoset" sheetId="8" r:id="rId8"/>
    <sheet name="hecabturm_agoset" sheetId="9" r:id="rId9"/>
    <sheet name="heserv_out" sheetId="10" r:id="rId10"/>
    <sheet name="hesuperv_out" sheetId="11" r:id="rId11"/>
    <sheet name="hecabturm_out" sheetId="12" r:id="rId12"/>
    <sheet name="matservente1" sheetId="13" r:id="rId13"/>
    <sheet name="matjard1" sheetId="14" r:id="rId14"/>
    <sheet name="matservente2" sheetId="15" r:id="rId15"/>
    <sheet name="matjard2" sheetId="16" r:id="rId16"/>
    <sheet name="Total" sheetId="17" r:id="rId17"/>
  </sheets>
  <definedNames>
    <definedName name="_xlnm.Print_Area" localSheetId="13">matjard1!$A$1:$F$14</definedName>
    <definedName name="_xlnm.Print_Area" localSheetId="15">matjard2!$A$1:$F$14</definedName>
    <definedName name="_xlnm.Print_Area" localSheetId="12">matservente1!$A$1:$F$51</definedName>
    <definedName name="_xlnm.Print_Area" localSheetId="14">matservente2!$A$1:$F$51</definedName>
    <definedName name="Print_Area_0" localSheetId="13">matjard1!$A$1:$F$10</definedName>
    <definedName name="Print_Area_0" localSheetId="15">matjard2!$A$1:$F$10</definedName>
    <definedName name="Print_Area_0" localSheetId="12">matservente1!$A$1:$F$47</definedName>
    <definedName name="Print_Area_0" localSheetId="14">matservente2!$A$1:$F$47</definedName>
    <definedName name="Print_Area_0_0" localSheetId="13">matjard1!$A$1:$F$10</definedName>
    <definedName name="Print_Area_0_0" localSheetId="15">matjard2!$A$1:$F$10</definedName>
    <definedName name="Print_Area_0_0" localSheetId="12">matservente1!$A$1:$F$47</definedName>
    <definedName name="Print_Area_0_0" localSheetId="14">matservente2!$A$1:$F$47</definedName>
    <definedName name="_xlnm.Print_Titles" localSheetId="8">hecabturm_agoset!$1:$1</definedName>
    <definedName name="_xlnm.Print_Titles" localSheetId="11">hecabturm_out!$1:$1</definedName>
    <definedName name="_xlnm.Print_Titles" localSheetId="6">heserv_agoset!$1:$1</definedName>
    <definedName name="_xlnm.Print_Titles" localSheetId="9">heserv_out!$1:$1</definedName>
    <definedName name="_xlnm.Print_Titles" localSheetId="7">hesuperv_agoset!$1:$1</definedName>
    <definedName name="_xlnm.Print_Titles" localSheetId="10">hesuperv_out!$1:$1</definedName>
    <definedName name="_xlnm.Print_Titles" localSheetId="13">matjard1!$1:$2</definedName>
    <definedName name="_xlnm.Print_Titles" localSheetId="12">matservente1!$1:$2</definedName>
    <definedName name="_xlnm.Print_Titles" localSheetId="14">matservente2!$1:$2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5" l="1"/>
  <c r="F47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D129" i="3" l="1"/>
  <c r="D129" i="6"/>
  <c r="D129" i="1"/>
  <c r="F9" i="14"/>
  <c r="F3" i="14"/>
  <c r="F4" i="14"/>
  <c r="F5" i="14"/>
  <c r="F6" i="14"/>
  <c r="F7" i="14"/>
  <c r="F8" i="14"/>
  <c r="F10" i="14" s="1"/>
  <c r="E25" i="17" l="1"/>
  <c r="B24" i="17"/>
  <c r="E19" i="17"/>
  <c r="B18" i="17"/>
  <c r="B17" i="17"/>
  <c r="B16" i="17"/>
  <c r="B15" i="17"/>
  <c r="B14" i="17"/>
  <c r="F9" i="17"/>
  <c r="F9" i="16"/>
  <c r="F8" i="16"/>
  <c r="F7" i="16"/>
  <c r="F6" i="16"/>
  <c r="F5" i="16"/>
  <c r="F4" i="16"/>
  <c r="F3" i="16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4" i="15"/>
  <c r="F13" i="15"/>
  <c r="F12" i="15"/>
  <c r="F11" i="15"/>
  <c r="F10" i="15"/>
  <c r="F9" i="15"/>
  <c r="F8" i="15"/>
  <c r="F7" i="15"/>
  <c r="F6" i="15"/>
  <c r="F5" i="15"/>
  <c r="F4" i="15"/>
  <c r="F3" i="15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E24" i="12"/>
  <c r="D24" i="12"/>
  <c r="E23" i="12"/>
  <c r="D23" i="12"/>
  <c r="D7" i="12"/>
  <c r="C26" i="12" s="1"/>
  <c r="D6" i="12"/>
  <c r="C25" i="12" s="1"/>
  <c r="D25" i="12" s="1"/>
  <c r="C26" i="11"/>
  <c r="C25" i="11"/>
  <c r="D24" i="11"/>
  <c r="E23" i="11"/>
  <c r="E24" i="11" s="1"/>
  <c r="D23" i="11"/>
  <c r="D7" i="11"/>
  <c r="D6" i="11"/>
  <c r="C26" i="10"/>
  <c r="E23" i="10"/>
  <c r="E24" i="10" s="1"/>
  <c r="D23" i="10"/>
  <c r="D24" i="10" s="1"/>
  <c r="D7" i="10"/>
  <c r="D6" i="10"/>
  <c r="C25" i="10" s="1"/>
  <c r="E25" i="9"/>
  <c r="C25" i="9"/>
  <c r="E24" i="9"/>
  <c r="E23" i="9"/>
  <c r="D23" i="9"/>
  <c r="D24" i="9" s="1"/>
  <c r="D7" i="9"/>
  <c r="C26" i="9" s="1"/>
  <c r="D6" i="9"/>
  <c r="D25" i="8"/>
  <c r="D24" i="8"/>
  <c r="E23" i="8"/>
  <c r="E24" i="8" s="1"/>
  <c r="D23" i="8"/>
  <c r="D7" i="8"/>
  <c r="C26" i="8" s="1"/>
  <c r="D6" i="8"/>
  <c r="C25" i="8" s="1"/>
  <c r="C26" i="7"/>
  <c r="C25" i="7"/>
  <c r="E24" i="7"/>
  <c r="E23" i="7"/>
  <c r="D23" i="7"/>
  <c r="D24" i="7" s="1"/>
  <c r="D7" i="7"/>
  <c r="D6" i="7"/>
  <c r="C137" i="6"/>
  <c r="C144" i="6" s="1"/>
  <c r="D154" i="6"/>
  <c r="C102" i="6"/>
  <c r="C101" i="6"/>
  <c r="C100" i="6"/>
  <c r="C99" i="6"/>
  <c r="C98" i="6"/>
  <c r="C88" i="6"/>
  <c r="D86" i="6"/>
  <c r="D87" i="6" s="1"/>
  <c r="C86" i="6"/>
  <c r="C85" i="6"/>
  <c r="C83" i="6"/>
  <c r="D64" i="6"/>
  <c r="D63" i="6"/>
  <c r="D68" i="6" s="1"/>
  <c r="D76" i="6" s="1"/>
  <c r="C57" i="6"/>
  <c r="C87" i="6" s="1"/>
  <c r="C42" i="6"/>
  <c r="C43" i="6" s="1"/>
  <c r="D41" i="6"/>
  <c r="C41" i="6"/>
  <c r="D33" i="6"/>
  <c r="C137" i="5"/>
  <c r="D129" i="5"/>
  <c r="D154" i="5" s="1"/>
  <c r="C102" i="5"/>
  <c r="C101" i="5"/>
  <c r="C100" i="5"/>
  <c r="C99" i="5"/>
  <c r="C98" i="5"/>
  <c r="D88" i="5"/>
  <c r="C88" i="5"/>
  <c r="C87" i="5"/>
  <c r="C86" i="5"/>
  <c r="C85" i="5"/>
  <c r="C83" i="5"/>
  <c r="D68" i="5"/>
  <c r="D76" i="5" s="1"/>
  <c r="D64" i="5"/>
  <c r="D63" i="5"/>
  <c r="C57" i="5"/>
  <c r="D5" i="12" s="1"/>
  <c r="C42" i="5"/>
  <c r="D41" i="5"/>
  <c r="C41" i="5"/>
  <c r="C43" i="5" s="1"/>
  <c r="D33" i="5"/>
  <c r="D150" i="5" s="1"/>
  <c r="C137" i="4"/>
  <c r="D129" i="4"/>
  <c r="D154" i="4" s="1"/>
  <c r="C102" i="4"/>
  <c r="C101" i="4"/>
  <c r="C100" i="4"/>
  <c r="C99" i="4"/>
  <c r="C98" i="4"/>
  <c r="C88" i="4"/>
  <c r="C86" i="4"/>
  <c r="D85" i="4"/>
  <c r="C85" i="4"/>
  <c r="C83" i="4"/>
  <c r="D64" i="4"/>
  <c r="D63" i="4"/>
  <c r="D68" i="4" s="1"/>
  <c r="D76" i="4" s="1"/>
  <c r="C57" i="4"/>
  <c r="C87" i="4" s="1"/>
  <c r="C42" i="4"/>
  <c r="C41" i="4"/>
  <c r="C43" i="4" s="1"/>
  <c r="D33" i="4"/>
  <c r="D88" i="4" s="1"/>
  <c r="D150" i="3"/>
  <c r="C137" i="3"/>
  <c r="C144" i="3" s="1"/>
  <c r="D154" i="3"/>
  <c r="C102" i="3"/>
  <c r="C101" i="3"/>
  <c r="C100" i="3"/>
  <c r="C99" i="3"/>
  <c r="C98" i="3"/>
  <c r="C88" i="3"/>
  <c r="C86" i="3"/>
  <c r="C85" i="3"/>
  <c r="C83" i="3"/>
  <c r="D64" i="3"/>
  <c r="D63" i="3"/>
  <c r="D68" i="3" s="1"/>
  <c r="D76" i="3" s="1"/>
  <c r="C57" i="3"/>
  <c r="C87" i="3" s="1"/>
  <c r="C42" i="3"/>
  <c r="C43" i="3" s="1"/>
  <c r="D41" i="3"/>
  <c r="C41" i="3"/>
  <c r="D33" i="3"/>
  <c r="D86" i="3" s="1"/>
  <c r="D87" i="3" s="1"/>
  <c r="C144" i="2"/>
  <c r="C137" i="2"/>
  <c r="D129" i="2"/>
  <c r="D154" i="2" s="1"/>
  <c r="C102" i="2"/>
  <c r="C101" i="2"/>
  <c r="C100" i="2"/>
  <c r="C99" i="2"/>
  <c r="C98" i="2"/>
  <c r="C88" i="2"/>
  <c r="C86" i="2"/>
  <c r="C85" i="2"/>
  <c r="C83" i="2"/>
  <c r="D64" i="2"/>
  <c r="D63" i="2"/>
  <c r="D68" i="2" s="1"/>
  <c r="D76" i="2" s="1"/>
  <c r="C57" i="2"/>
  <c r="C87" i="2" s="1"/>
  <c r="C42" i="2"/>
  <c r="C41" i="2"/>
  <c r="C43" i="2" s="1"/>
  <c r="D33" i="2"/>
  <c r="D150" i="2" s="1"/>
  <c r="C144" i="1"/>
  <c r="C137" i="1"/>
  <c r="D8" i="7" s="1"/>
  <c r="C27" i="7" s="1"/>
  <c r="D154" i="1"/>
  <c r="C102" i="1"/>
  <c r="C101" i="1"/>
  <c r="C100" i="1"/>
  <c r="C99" i="1"/>
  <c r="C98" i="1"/>
  <c r="C88" i="1"/>
  <c r="C86" i="1"/>
  <c r="D85" i="1"/>
  <c r="C85" i="1"/>
  <c r="C83" i="1"/>
  <c r="D64" i="1"/>
  <c r="D63" i="1"/>
  <c r="D68" i="1" s="1"/>
  <c r="D76" i="1" s="1"/>
  <c r="C57" i="1"/>
  <c r="D5" i="7" s="1"/>
  <c r="C43" i="1"/>
  <c r="D42" i="1"/>
  <c r="C42" i="1"/>
  <c r="C41" i="1"/>
  <c r="D33" i="1"/>
  <c r="D86" i="1" s="1"/>
  <c r="D85" i="5" l="1"/>
  <c r="D88" i="3"/>
  <c r="D41" i="2"/>
  <c r="D43" i="2" s="1"/>
  <c r="D50" i="2" s="1"/>
  <c r="D85" i="2"/>
  <c r="D42" i="2"/>
  <c r="D83" i="2"/>
  <c r="D84" i="2" s="1"/>
  <c r="D88" i="2"/>
  <c r="D88" i="1"/>
  <c r="F48" i="13"/>
  <c r="F49" i="13" s="1"/>
  <c r="F50" i="13" s="1"/>
  <c r="F47" i="15"/>
  <c r="F48" i="15" s="1"/>
  <c r="F10" i="16"/>
  <c r="F11" i="16" s="1"/>
  <c r="F12" i="16" s="1"/>
  <c r="E25" i="7"/>
  <c r="D43" i="5"/>
  <c r="D55" i="5" s="1"/>
  <c r="D87" i="1"/>
  <c r="D150" i="1"/>
  <c r="D83" i="1"/>
  <c r="C87" i="1"/>
  <c r="D41" i="1"/>
  <c r="D43" i="1" s="1"/>
  <c r="D49" i="1" s="1"/>
  <c r="D86" i="2"/>
  <c r="D87" i="2" s="1"/>
  <c r="D83" i="3"/>
  <c r="D85" i="3"/>
  <c r="D42" i="4"/>
  <c r="D83" i="4"/>
  <c r="D150" i="4"/>
  <c r="D54" i="5"/>
  <c r="D83" i="5"/>
  <c r="D88" i="6"/>
  <c r="E26" i="9"/>
  <c r="E4" i="12"/>
  <c r="D83" i="6"/>
  <c r="D85" i="6"/>
  <c r="D25" i="7"/>
  <c r="E25" i="8"/>
  <c r="E26" i="8" s="1"/>
  <c r="D8" i="10"/>
  <c r="C27" i="10" s="1"/>
  <c r="E25" i="11"/>
  <c r="E26" i="11"/>
  <c r="E27" i="11" s="1"/>
  <c r="D26" i="12"/>
  <c r="E4" i="11"/>
  <c r="E4" i="8"/>
  <c r="D26" i="8"/>
  <c r="D27" i="8" s="1"/>
  <c r="D25" i="11"/>
  <c r="E25" i="12"/>
  <c r="E26" i="12" s="1"/>
  <c r="D5" i="11"/>
  <c r="D5" i="8"/>
  <c r="D25" i="10"/>
  <c r="D42" i="3"/>
  <c r="D43" i="3" s="1"/>
  <c r="D55" i="3" s="1"/>
  <c r="D41" i="4"/>
  <c r="D8" i="11"/>
  <c r="C27" i="11" s="1"/>
  <c r="D8" i="8"/>
  <c r="C27" i="8" s="1"/>
  <c r="D8" i="12"/>
  <c r="C27" i="12" s="1"/>
  <c r="D8" i="9"/>
  <c r="C27" i="9" s="1"/>
  <c r="C144" i="5"/>
  <c r="D25" i="9"/>
  <c r="D26" i="9"/>
  <c r="D5" i="10"/>
  <c r="E25" i="10"/>
  <c r="E27" i="10" s="1"/>
  <c r="E28" i="10" s="1"/>
  <c r="E26" i="10"/>
  <c r="E4" i="10"/>
  <c r="E4" i="7"/>
  <c r="D86" i="4"/>
  <c r="D87" i="4" s="1"/>
  <c r="C144" i="4"/>
  <c r="D42" i="5"/>
  <c r="D86" i="5"/>
  <c r="D87" i="5" s="1"/>
  <c r="D42" i="6"/>
  <c r="D43" i="6" s="1"/>
  <c r="D150" i="6"/>
  <c r="E4" i="9"/>
  <c r="D26" i="11"/>
  <c r="D5" i="9"/>
  <c r="D54" i="2" l="1"/>
  <c r="D56" i="2"/>
  <c r="D74" i="2"/>
  <c r="D52" i="2"/>
  <c r="D53" i="2"/>
  <c r="D55" i="2"/>
  <c r="D51" i="2"/>
  <c r="D57" i="2" s="1"/>
  <c r="D75" i="2" s="1"/>
  <c r="D77" i="2" s="1"/>
  <c r="D49" i="2"/>
  <c r="F13" i="16"/>
  <c r="F14" i="16" s="1"/>
  <c r="E46" i="17" s="1"/>
  <c r="F46" i="17" s="1"/>
  <c r="D27" i="12"/>
  <c r="D28" i="12" s="1"/>
  <c r="D27" i="11"/>
  <c r="D28" i="11" s="1"/>
  <c r="D27" i="9"/>
  <c r="D28" i="9" s="1"/>
  <c r="E26" i="7"/>
  <c r="D26" i="7"/>
  <c r="D27" i="7" s="1"/>
  <c r="D28" i="7" s="1"/>
  <c r="E28" i="11"/>
  <c r="D28" i="10"/>
  <c r="E29" i="10" s="1"/>
  <c r="E27" i="8"/>
  <c r="E28" i="8" s="1"/>
  <c r="D52" i="6"/>
  <c r="D51" i="6"/>
  <c r="D50" i="6"/>
  <c r="D74" i="6"/>
  <c r="D56" i="6"/>
  <c r="D54" i="6"/>
  <c r="D55" i="6"/>
  <c r="D53" i="6"/>
  <c r="D49" i="6"/>
  <c r="D28" i="8"/>
  <c r="E27" i="12"/>
  <c r="E28" i="12" s="1"/>
  <c r="E5" i="8"/>
  <c r="E6" i="8" s="1"/>
  <c r="D54" i="1"/>
  <c r="F49" i="15"/>
  <c r="F50" i="15" s="1"/>
  <c r="F11" i="14"/>
  <c r="F12" i="14" s="1"/>
  <c r="D49" i="3"/>
  <c r="D84" i="1"/>
  <c r="D89" i="1"/>
  <c r="D152" i="1" s="1"/>
  <c r="D89" i="2"/>
  <c r="D152" i="2" s="1"/>
  <c r="D84" i="5"/>
  <c r="D89" i="5" s="1"/>
  <c r="D152" i="5" s="1"/>
  <c r="D52" i="5"/>
  <c r="D50" i="5"/>
  <c r="D74" i="5"/>
  <c r="D56" i="5"/>
  <c r="D49" i="5"/>
  <c r="D53" i="5"/>
  <c r="E5" i="7"/>
  <c r="E6" i="7"/>
  <c r="D26" i="10"/>
  <c r="D27" i="10" s="1"/>
  <c r="D51" i="1"/>
  <c r="D89" i="4"/>
  <c r="D152" i="4" s="1"/>
  <c r="D84" i="4"/>
  <c r="D56" i="1"/>
  <c r="D55" i="1"/>
  <c r="E5" i="10"/>
  <c r="D84" i="6"/>
  <c r="D89" i="6" s="1"/>
  <c r="D152" i="6" s="1"/>
  <c r="E5" i="12"/>
  <c r="E6" i="12"/>
  <c r="E7" i="12" s="1"/>
  <c r="F51" i="13"/>
  <c r="D84" i="3"/>
  <c r="D89" i="3" s="1"/>
  <c r="D152" i="3" s="1"/>
  <c r="D50" i="1"/>
  <c r="D57" i="1" s="1"/>
  <c r="D75" i="1" s="1"/>
  <c r="D53" i="1"/>
  <c r="D52" i="1"/>
  <c r="D74" i="1"/>
  <c r="D43" i="4"/>
  <c r="D74" i="3"/>
  <c r="D54" i="3"/>
  <c r="D53" i="3"/>
  <c r="D52" i="3"/>
  <c r="D51" i="3"/>
  <c r="D50" i="3"/>
  <c r="E5" i="9"/>
  <c r="E5" i="11"/>
  <c r="E6" i="11" s="1"/>
  <c r="D51" i="5"/>
  <c r="E27" i="9"/>
  <c r="E28" i="9" s="1"/>
  <c r="D56" i="3"/>
  <c r="E6" i="10" l="1"/>
  <c r="E7" i="10" s="1"/>
  <c r="E29" i="12"/>
  <c r="E28" i="7"/>
  <c r="E29" i="7" s="1"/>
  <c r="E27" i="7"/>
  <c r="E8" i="12"/>
  <c r="E9" i="12" s="1"/>
  <c r="E10" i="12" s="1"/>
  <c r="D100" i="2"/>
  <c r="D99" i="2"/>
  <c r="D101" i="2"/>
  <c r="D98" i="2"/>
  <c r="D151" i="2"/>
  <c r="D103" i="2"/>
  <c r="D102" i="2"/>
  <c r="D110" i="2"/>
  <c r="D111" i="2" s="1"/>
  <c r="D118" i="2" s="1"/>
  <c r="F13" i="14"/>
  <c r="F14" i="14" s="1"/>
  <c r="D57" i="3"/>
  <c r="D75" i="3" s="1"/>
  <c r="D77" i="3" s="1"/>
  <c r="E6" i="9"/>
  <c r="E7" i="7"/>
  <c r="E8" i="7" s="1"/>
  <c r="E7" i="8"/>
  <c r="E9" i="8" s="1"/>
  <c r="E10" i="8" s="1"/>
  <c r="E29" i="8"/>
  <c r="E7" i="11"/>
  <c r="E8" i="11" s="1"/>
  <c r="E9" i="11" s="1"/>
  <c r="E10" i="11" s="1"/>
  <c r="E29" i="9"/>
  <c r="D57" i="5"/>
  <c r="D75" i="5" s="1"/>
  <c r="D77" i="5" s="1"/>
  <c r="D50" i="4"/>
  <c r="D74" i="4"/>
  <c r="D55" i="4"/>
  <c r="D54" i="4"/>
  <c r="D53" i="4"/>
  <c r="D52" i="4"/>
  <c r="D51" i="4"/>
  <c r="D49" i="4"/>
  <c r="D56" i="4"/>
  <c r="D57" i="6"/>
  <c r="D75" i="6" s="1"/>
  <c r="D77" i="6" s="1"/>
  <c r="E8" i="8"/>
  <c r="D77" i="1"/>
  <c r="F38" i="17"/>
  <c r="G38" i="17" s="1"/>
  <c r="C45" i="17"/>
  <c r="D45" i="17" s="1"/>
  <c r="F51" i="15"/>
  <c r="E45" i="17" s="1"/>
  <c r="F45" i="17" s="1"/>
  <c r="E29" i="11"/>
  <c r="E7" i="9" l="1"/>
  <c r="E8" i="9" s="1"/>
  <c r="E9" i="9" s="1"/>
  <c r="E10" i="9" s="1"/>
  <c r="E8" i="10"/>
  <c r="E9" i="10" s="1"/>
  <c r="E10" i="10" s="1"/>
  <c r="D110" i="5"/>
  <c r="D111" i="5" s="1"/>
  <c r="D118" i="5" s="1"/>
  <c r="D100" i="5"/>
  <c r="D151" i="5"/>
  <c r="D103" i="5"/>
  <c r="D98" i="5"/>
  <c r="D102" i="5"/>
  <c r="D99" i="5"/>
  <c r="D101" i="5"/>
  <c r="E12" i="11"/>
  <c r="E16" i="11" s="1"/>
  <c r="E11" i="11"/>
  <c r="D151" i="6"/>
  <c r="D99" i="6"/>
  <c r="D98" i="6"/>
  <c r="D100" i="6"/>
  <c r="D110" i="6"/>
  <c r="D111" i="6" s="1"/>
  <c r="D118" i="6" s="1"/>
  <c r="D103" i="6"/>
  <c r="D102" i="6"/>
  <c r="D101" i="6"/>
  <c r="D104" i="2"/>
  <c r="D117" i="2" s="1"/>
  <c r="D119" i="2" s="1"/>
  <c r="D153" i="2" s="1"/>
  <c r="D155" i="2" s="1"/>
  <c r="D57" i="4"/>
  <c r="D75" i="4" s="1"/>
  <c r="D77" i="4" s="1"/>
  <c r="E9" i="7"/>
  <c r="E10" i="7" s="1"/>
  <c r="E12" i="8"/>
  <c r="E16" i="8" s="1"/>
  <c r="E11" i="8"/>
  <c r="G45" i="17"/>
  <c r="C46" i="17"/>
  <c r="D46" i="17" s="1"/>
  <c r="G46" i="17" s="1"/>
  <c r="F39" i="17"/>
  <c r="G39" i="17" s="1"/>
  <c r="G40" i="17" s="1"/>
  <c r="G54" i="17" s="1"/>
  <c r="D151" i="3"/>
  <c r="D110" i="3"/>
  <c r="D111" i="3" s="1"/>
  <c r="D118" i="3" s="1"/>
  <c r="D100" i="3"/>
  <c r="D103" i="3"/>
  <c r="D99" i="3"/>
  <c r="D102" i="3"/>
  <c r="D98" i="3"/>
  <c r="D101" i="3"/>
  <c r="D151" i="1"/>
  <c r="D100" i="1"/>
  <c r="D103" i="1"/>
  <c r="D102" i="1"/>
  <c r="D98" i="1"/>
  <c r="D99" i="1"/>
  <c r="D110" i="1"/>
  <c r="D111" i="1" s="1"/>
  <c r="D118" i="1" s="1"/>
  <c r="D101" i="1"/>
  <c r="E12" i="12"/>
  <c r="E16" i="12" s="1"/>
  <c r="E11" i="12"/>
  <c r="E11" i="9" l="1"/>
  <c r="E15" i="9" s="1"/>
  <c r="E12" i="9"/>
  <c r="E16" i="9" s="1"/>
  <c r="E12" i="10"/>
  <c r="E16" i="10" s="1"/>
  <c r="E11" i="10"/>
  <c r="G47" i="17"/>
  <c r="G62" i="17" s="1"/>
  <c r="D135" i="2"/>
  <c r="D136" i="2" s="1"/>
  <c r="E15" i="8"/>
  <c r="E14" i="8"/>
  <c r="E17" i="8" s="1"/>
  <c r="E19" i="8" s="1"/>
  <c r="E30" i="8" s="1"/>
  <c r="E31" i="17" s="1"/>
  <c r="E14" i="11"/>
  <c r="E15" i="11"/>
  <c r="D151" i="4"/>
  <c r="D103" i="4"/>
  <c r="D110" i="4"/>
  <c r="D111" i="4" s="1"/>
  <c r="D118" i="4" s="1"/>
  <c r="D101" i="4"/>
  <c r="D98" i="4"/>
  <c r="D102" i="4"/>
  <c r="D99" i="4"/>
  <c r="D100" i="4"/>
  <c r="D104" i="5"/>
  <c r="D117" i="5" s="1"/>
  <c r="D119" i="5" s="1"/>
  <c r="D153" i="5" s="1"/>
  <c r="D155" i="5" s="1"/>
  <c r="D155" i="3"/>
  <c r="E12" i="7"/>
  <c r="E16" i="7" s="1"/>
  <c r="E11" i="7"/>
  <c r="D104" i="3"/>
  <c r="D117" i="3" s="1"/>
  <c r="D119" i="3" s="1"/>
  <c r="D153" i="3" s="1"/>
  <c r="E15" i="12"/>
  <c r="E14" i="12"/>
  <c r="E17" i="12" s="1"/>
  <c r="E19" i="12" s="1"/>
  <c r="E30" i="12" s="1"/>
  <c r="F32" i="17" s="1"/>
  <c r="D104" i="1"/>
  <c r="D117" i="1" s="1"/>
  <c r="D119" i="1" s="1"/>
  <c r="D153" i="1" s="1"/>
  <c r="D155" i="1" s="1"/>
  <c r="D104" i="6"/>
  <c r="D117" i="6" s="1"/>
  <c r="D119" i="6" s="1"/>
  <c r="D153" i="6" s="1"/>
  <c r="D155" i="6" s="1"/>
  <c r="E14" i="9" l="1"/>
  <c r="D104" i="4"/>
  <c r="D117" i="4" s="1"/>
  <c r="D119" i="4" s="1"/>
  <c r="D153" i="4" s="1"/>
  <c r="D155" i="4" s="1"/>
  <c r="E14" i="10"/>
  <c r="E17" i="10" s="1"/>
  <c r="E19" i="10" s="1"/>
  <c r="E30" i="10" s="1"/>
  <c r="F30" i="17" s="1"/>
  <c r="E15" i="10"/>
  <c r="E17" i="11"/>
  <c r="E19" i="11" s="1"/>
  <c r="E30" i="11" s="1"/>
  <c r="F31" i="17" s="1"/>
  <c r="G31" i="17" s="1"/>
  <c r="E17" i="9"/>
  <c r="E19" i="9" s="1"/>
  <c r="E30" i="9" s="1"/>
  <c r="E32" i="17" s="1"/>
  <c r="G32" i="17" s="1"/>
  <c r="D135" i="1"/>
  <c r="D135" i="5"/>
  <c r="D136" i="5" s="1"/>
  <c r="D137" i="5" s="1"/>
  <c r="D135" i="6"/>
  <c r="D135" i="3"/>
  <c r="E15" i="7"/>
  <c r="E14" i="7"/>
  <c r="D137" i="2"/>
  <c r="D144" i="2" s="1"/>
  <c r="D156" i="2" s="1"/>
  <c r="D157" i="2" s="1"/>
  <c r="E17" i="7" l="1"/>
  <c r="E19" i="7" s="1"/>
  <c r="E30" i="7" s="1"/>
  <c r="E30" i="17" s="1"/>
  <c r="G30" i="17" s="1"/>
  <c r="G33" i="17" s="1"/>
  <c r="G61" i="17" s="1"/>
  <c r="D15" i="17"/>
  <c r="F15" i="17" s="1"/>
  <c r="G15" i="17" s="1"/>
  <c r="D143" i="2"/>
  <c r="D139" i="2"/>
  <c r="D138" i="2"/>
  <c r="D142" i="2"/>
  <c r="D141" i="2"/>
  <c r="D140" i="2"/>
  <c r="D136" i="6"/>
  <c r="D137" i="6" s="1"/>
  <c r="D136" i="3"/>
  <c r="D136" i="1"/>
  <c r="D135" i="4"/>
  <c r="D136" i="4" s="1"/>
  <c r="D137" i="4" s="1"/>
  <c r="D144" i="5"/>
  <c r="D156" i="5" s="1"/>
  <c r="D157" i="5" s="1"/>
  <c r="D144" i="6" l="1"/>
  <c r="D156" i="6" s="1"/>
  <c r="D157" i="6" s="1"/>
  <c r="D142" i="6" s="1"/>
  <c r="D137" i="3"/>
  <c r="D144" i="3" s="1"/>
  <c r="D156" i="3" s="1"/>
  <c r="D157" i="3" s="1"/>
  <c r="D142" i="3" s="1"/>
  <c r="D137" i="1"/>
  <c r="D144" i="1" s="1"/>
  <c r="D156" i="1" s="1"/>
  <c r="D157" i="1" s="1"/>
  <c r="D143" i="1" s="1"/>
  <c r="D144" i="4"/>
  <c r="D156" i="4" s="1"/>
  <c r="D157" i="4" s="1"/>
  <c r="D18" i="17"/>
  <c r="F18" i="17" s="1"/>
  <c r="G18" i="17" s="1"/>
  <c r="D143" i="5"/>
  <c r="D138" i="5"/>
  <c r="D142" i="5"/>
  <c r="D141" i="5"/>
  <c r="D140" i="5"/>
  <c r="D139" i="5"/>
  <c r="D143" i="6" l="1"/>
  <c r="D24" i="17"/>
  <c r="F24" i="17" s="1"/>
  <c r="F25" i="17" s="1"/>
  <c r="D138" i="6"/>
  <c r="D140" i="6"/>
  <c r="D139" i="6"/>
  <c r="D141" i="6"/>
  <c r="D143" i="3"/>
  <c r="D138" i="1"/>
  <c r="D141" i="3"/>
  <c r="D138" i="3"/>
  <c r="D16" i="17"/>
  <c r="F16" i="17" s="1"/>
  <c r="G16" i="17" s="1"/>
  <c r="D139" i="3"/>
  <c r="D140" i="3"/>
  <c r="D139" i="1"/>
  <c r="D140" i="1"/>
  <c r="D141" i="1"/>
  <c r="D14" i="17"/>
  <c r="F14" i="17" s="1"/>
  <c r="D142" i="1"/>
  <c r="D17" i="17"/>
  <c r="F17" i="17" s="1"/>
  <c r="G17" i="17" s="1"/>
  <c r="D139" i="4"/>
  <c r="D143" i="4"/>
  <c r="D142" i="4"/>
  <c r="D141" i="4"/>
  <c r="D140" i="4"/>
  <c r="D138" i="4"/>
  <c r="G24" i="17" l="1"/>
  <c r="G25" i="17" s="1"/>
  <c r="F19" i="17"/>
  <c r="G14" i="17"/>
  <c r="G19" i="17" s="1"/>
  <c r="G60" i="17" l="1"/>
  <c r="G53" i="17"/>
  <c r="G55" i="17" s="1"/>
  <c r="G59" i="17"/>
  <c r="G63" i="17" l="1"/>
  <c r="G65" i="17" s="1"/>
</calcChain>
</file>

<file path=xl/sharedStrings.xml><?xml version="1.0" encoding="utf-8"?>
<sst xmlns="http://schemas.openxmlformats.org/spreadsheetml/2006/main" count="1762" uniqueCount="258">
  <si>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</si>
  <si>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</si>
  <si>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</si>
  <si>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</si>
  <si>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</si>
  <si>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</si>
  <si>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</si>
  <si>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</si>
  <si>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</si>
  <si>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</si>
  <si>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</si>
  <si>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</si>
  <si>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</si>
  <si>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</si>
  <si>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 de Limpeza</t>
  </si>
  <si>
    <t>posto de serviço</t>
  </si>
  <si>
    <t>Dados complementares para composição dos custos referente à mão-de-obra</t>
  </si>
  <si>
    <t>Tipo de serviço (mesmo serviço com características distintas)</t>
  </si>
  <si>
    <t>Servente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</si>
  <si>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</si>
  <si>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</si>
  <si>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</si>
  <si>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</si>
  <si>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</si>
  <si>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</si>
  <si>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</si>
  <si>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</si>
  <si>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</si>
  <si>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</si>
  <si>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</si>
  <si>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</si>
  <si>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</si>
  <si>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</si>
  <si>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</si>
  <si>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</si>
  <si>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</si>
  <si>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</si>
  <si>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</si>
  <si>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</si>
  <si>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</si>
  <si>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</si>
  <si>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</si>
  <si>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</si>
  <si>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</si>
  <si>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</si>
  <si>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</si>
  <si>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</si>
  <si>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</si>
  <si>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</si>
  <si>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</si>
  <si>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</si>
  <si>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</si>
  <si>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</si>
  <si>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</si>
  <si>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</si>
  <si>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</si>
  <si>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</si>
  <si>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</si>
  <si>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</si>
  <si>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</si>
  <si>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</si>
  <si>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</si>
  <si>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</si>
  <si>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</si>
  <si>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</si>
  <si>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</si>
  <si>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</si>
  <si>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</si>
  <si>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</si>
  <si>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</si>
  <si>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</si>
  <si>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</si>
  <si>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</si>
  <si>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</si>
  <si>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</si>
  <si>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</si>
  <si>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</si>
  <si>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</si>
  <si>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</si>
  <si>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</si>
  <si>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</si>
  <si>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</si>
  <si>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</si>
  <si>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</si>
  <si>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</si>
  <si>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</si>
  <si>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</si>
  <si>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</si>
  <si>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</si>
  <si>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</si>
  <si>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</si>
  <si>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</si>
  <si>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</si>
  <si>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</si>
  <si>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</si>
  <si>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</si>
  <si>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EPIs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</si>
  <si>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</si>
  <si>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</si>
  <si>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</si>
  <si>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</si>
  <si>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</si>
  <si>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</si>
  <si>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</si>
  <si>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</si>
  <si>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</si>
  <si>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</si>
  <si>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</si>
  <si>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</si>
  <si>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</si>
  <si>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</si>
  <si>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</si>
  <si>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</si>
  <si>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Jardineiro</t>
  </si>
  <si>
    <t>6220-10</t>
  </si>
  <si>
    <t>Auxiliar de Jardinagem</t>
  </si>
  <si>
    <t>Supervisor</t>
  </si>
  <si>
    <t>4101-05</t>
  </si>
  <si>
    <t>Cabo de Turma</t>
  </si>
  <si>
    <t>HORAS EXTRAS – de agosto a setembro – ano eleitoral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</si>
  <si>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</si>
  <si>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</si>
  <si>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</si>
  <si>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</si>
  <si>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</si>
  <si>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</si>
  <si>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</si>
  <si>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</si>
  <si>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</si>
  <si>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</si>
  <si>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</si>
  <si>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</si>
  <si>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 e 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</si>
  <si>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</si>
  <si>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</si>
  <si>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</si>
  <si>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</si>
  <si>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</si>
  <si>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</si>
  <si>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L</t>
  </si>
  <si>
    <t>Vale transporte</t>
  </si>
  <si>
    <t>M</t>
  </si>
  <si>
    <t>Vale alimentação</t>
  </si>
  <si>
    <t>Subtotal1</t>
  </si>
  <si>
    <t>N</t>
  </si>
  <si>
    <t>O</t>
  </si>
  <si>
    <t>P</t>
  </si>
  <si>
    <t>Subtotal2</t>
  </si>
  <si>
    <t>Total transporte e alimentação com horas extras</t>
  </si>
  <si>
    <t>Custo Total com Hora Extra</t>
  </si>
  <si>
    <t>HORAS EXTRAS – outubro – ano eleitoral</t>
  </si>
  <si>
    <t>4.4.1.3. ANO NÃO ELEITORAL E ANO ELEITORAL NOS MESES DE JANEIRO, FEVEREIRO, MARÇO, ABRIL, MAIO, JUNHO, NOVEMBRO E DEZEMBRO 
CONSUMO MÉDIO MENSAL ESTIMADO TOTAL 
CATEGORIA PROFISSIONAL: SERVENTE</t>
  </si>
  <si>
    <t>Item</t>
  </si>
  <si>
    <t>Descrição</t>
  </si>
  <si>
    <t>Unidade de Fornecimento</t>
  </si>
  <si>
    <t>Quantidade</t>
  </si>
  <si>
    <t>Valor Unitário</t>
  </si>
  <si>
    <t>Valor Total</t>
  </si>
  <si>
    <t xml:space="preserve">Água sanitária </t>
  </si>
  <si>
    <t>Cera preta para piso emborrachado</t>
  </si>
  <si>
    <t>Desinfetante líquido germicida</t>
  </si>
  <si>
    <t>Desodorante para sanitário (desodor)</t>
  </si>
  <si>
    <t>Detergente líquido para lavar louças</t>
  </si>
  <si>
    <t>Detergente neutro concentrado</t>
  </si>
  <si>
    <t>Desentupidor de pia</t>
  </si>
  <si>
    <t>Escova com cerdas de nylon</t>
  </si>
  <si>
    <t>Espanador</t>
  </si>
  <si>
    <t>Esponja de Aço</t>
  </si>
  <si>
    <t>Esponja dupla face</t>
  </si>
  <si>
    <t>Flanela</t>
  </si>
  <si>
    <t>Inseticida spray (sem CFC – uso doméstico)</t>
  </si>
  <si>
    <t>Limpador multiuso</t>
  </si>
  <si>
    <t>Luva de borracha própria para atividades insalubres</t>
  </si>
  <si>
    <t>Lustra móveis à base de carnaúba</t>
  </si>
  <si>
    <t>Palha de aço</t>
  </si>
  <si>
    <t>Pá para lixo com cabo longo</t>
  </si>
  <si>
    <t>Pano para chão</t>
  </si>
  <si>
    <t>Pasta multiuso</t>
  </si>
  <si>
    <t>Polidor de metais</t>
  </si>
  <si>
    <t>Purificador de ar spray (sem CFC)</t>
  </si>
  <si>
    <t>Rodo (cabo e base já fixados) 60 cm</t>
  </si>
  <si>
    <t>Rodo (cabo e base já fixados) 30 cm</t>
  </si>
  <si>
    <t>Sabão em pó</t>
  </si>
  <si>
    <t>Sabonete líquido concentrado</t>
  </si>
  <si>
    <t>Saco plástico preto resistente para lixo de 100 litros</t>
  </si>
  <si>
    <t>Saco plástico preto resistente para lixo de 200 litros</t>
  </si>
  <si>
    <t>Saco plástico preto resistente para lixo de 60 litros</t>
  </si>
  <si>
    <t>Saco plástico azul resistente para lixo de 200 litros</t>
  </si>
  <si>
    <t>Vassoura de piaçava grande (com o cabo e a base já fixados) 60cm</t>
  </si>
  <si>
    <t>Vassoura de piaçava pequena (pia)</t>
  </si>
  <si>
    <t>Vassoura gari</t>
  </si>
  <si>
    <t>valor MATERIAIS</t>
  </si>
  <si>
    <t>custos indiretos</t>
  </si>
  <si>
    <t>lucro</t>
  </si>
  <si>
    <t>tributos</t>
  </si>
  <si>
    <t>custo total MATERIAIS</t>
  </si>
  <si>
    <t>4.4.1.3. ANO NÃO ELEITORAL E ANO ELEITORAL NOS MESES DE JANEIRO, FEVEREIRO, MARÇO, ABRIL, MAIO, JUNHO, NOVEMBRO E DEZEMBRO 
CONSUMO MÉDIO MENSAL ESTIMADO TOTAL 
CATEGORIA PROFISSIONAL: JARDINEIRO E AUXILIAR DE JARDINAGEM</t>
  </si>
  <si>
    <t>Terra vegetal</t>
  </si>
  <si>
    <t>Adubo</t>
  </si>
  <si>
    <t>Pesticida</t>
  </si>
  <si>
    <t>litro</t>
  </si>
  <si>
    <t>Uréia</t>
  </si>
  <si>
    <t>Pó 50 p/ formiga</t>
  </si>
  <si>
    <t>Formicida granulada</t>
  </si>
  <si>
    <t>Húmus de minhoca</t>
  </si>
  <si>
    <t>saco</t>
  </si>
  <si>
    <t>4.4.1.3. ANO ELEITORAL NOS MESES DE JULHO, AGOSTO, SETEMBRO E OUTUBRO
CONSUMO MÉDIO MENSAL ESTIMADO TOTAL 
CATEGORIA PROFISSIONAL: SERVENTE</t>
  </si>
  <si>
    <t>fardo</t>
  </si>
  <si>
    <t>unidade</t>
  </si>
  <si>
    <t>pacote</t>
  </si>
  <si>
    <t>caixa</t>
  </si>
  <si>
    <t>4.4.1.3. ANO ELEITORAL NOS MESES DE JULHO, AGOSTO, SETEMBRO E OUTUBRO
CONSUMO MÉDIO MENSAL ESTIMADO TOTAL 
CATEGORIA PROFISSIONAL: JARDINEIRO E AUXILIAR DE JARDINAGEM</t>
  </si>
  <si>
    <t>QUADRO RESUMO - VALORES ESTIMADOS</t>
  </si>
  <si>
    <t>Valor dos postos regulares</t>
  </si>
  <si>
    <t>item</t>
  </si>
  <si>
    <t>profissional</t>
  </si>
  <si>
    <t>valor mensal do posto</t>
  </si>
  <si>
    <t>quantidade de postos</t>
  </si>
  <si>
    <t>valor mensal</t>
  </si>
  <si>
    <t>valor total 
(12 meses)</t>
  </si>
  <si>
    <t>Total A</t>
  </si>
  <si>
    <t>Valor dos postos temporários</t>
  </si>
  <si>
    <t>valor total 
(04 meses)</t>
  </si>
  <si>
    <t>Total B</t>
  </si>
  <si>
    <t>Hora extra para ano eleitoral</t>
  </si>
  <si>
    <t>agosto a setembro</t>
  </si>
  <si>
    <t>outubro</t>
  </si>
  <si>
    <t>valor total</t>
  </si>
  <si>
    <t>Total C</t>
  </si>
  <si>
    <t>Materiais – ano não eleitoral</t>
  </si>
  <si>
    <t>Jardineiro e Auxiliar de Jardinagem</t>
  </si>
  <si>
    <t>Total D</t>
  </si>
  <si>
    <t>Materiais – ano eleitoral</t>
  </si>
  <si>
    <t>valor mensal exceto julho, agosto, setembro e outubro</t>
  </si>
  <si>
    <t>valor total 
(08 meses)</t>
  </si>
  <si>
    <t>valor mensal apenas julho, agosto, setembro e outubro</t>
  </si>
  <si>
    <t>Total E</t>
  </si>
  <si>
    <t>Valor total estimado</t>
  </si>
  <si>
    <t>Ano não eleitoral</t>
  </si>
  <si>
    <t>Postos regulares</t>
  </si>
  <si>
    <t>Postos temporários</t>
  </si>
  <si>
    <t>Ano eleitoral</t>
  </si>
  <si>
    <t>Hora extra</t>
  </si>
  <si>
    <t>Valor total estimado para a contratação – 24 meses</t>
  </si>
  <si>
    <t>Álcool líquido 70%</t>
  </si>
  <si>
    <t>Álcool em gel 70%</t>
  </si>
  <si>
    <t>Balde plástico com alça (capacidade de 10 litros)</t>
  </si>
  <si>
    <t>Balde plástico com alça (capacidade de 20 litros)</t>
  </si>
  <si>
    <t xml:space="preserve">Borrifador </t>
  </si>
  <si>
    <t xml:space="preserve">Estopa para polimento </t>
  </si>
  <si>
    <t>Máscara descartável N95 (PFF2)</t>
  </si>
  <si>
    <t>Papel higiênico de luxo (fardo com 64 rolos, agrupados em 04 de 40m cada, picotado, extra-macio, resistente, branco folha dupla, absorvente, alta qualidade, extra fino, liso neutro, sem perfume, 100% fibras celulósicas, não perecível)</t>
  </si>
  <si>
    <t>Papel toalha de luxo (fardo com 1.250 folhas cintadas de 250, branco, liso, macio, absorvente, dobrado para uso em porta- papel, formato 23x27cm, não perecível)</t>
  </si>
  <si>
    <t>kg</t>
  </si>
  <si>
    <t>Saco plástico preto resistente para lixo de 300 litros</t>
  </si>
  <si>
    <t>Diluidor de produto de limpeza concentrado</t>
  </si>
  <si>
    <t>SEAC x SINDILIMP – BA000008/2022</t>
  </si>
  <si>
    <t>Servente de Limpeza -  acréscimo nos meses de julho, agosto, setembro e outubro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</si>
</sst>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_-* #,##0.00_-;\-* #,##0.00_-;_-* \-??_-;_-@_-"/>
    <numFmt numFmtId="166" formatCode="dd/mm/yy"/>
    <numFmt numFmtId="167" formatCode="_-&quot;R$ &quot;* #,##0.00_-;&quot;-R$ &quot;* #,##0.00_-;_-&quot;R$ &quot;* \-??_-;_-@_-"/>
    <numFmt numFmtId="168" formatCode="#,##0.0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"/>
      <charset val="1"/>
    </font>
    <font>
      <b/>
      <sz val="11"/>
      <color rgb="FFFFFFFF"/>
      <name val="Times New Roman"/>
      <family val="1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165" fontId="16" fillId="0" borderId="0" applyBorder="0" applyProtection="0"/>
    <xf numFmtId="167" fontId="14" fillId="0" borderId="0" applyBorder="0" applyProtection="0"/>
    <xf numFmtId="9" fontId="16" fillId="0" borderId="0" applyBorder="0" applyProtection="0"/>
    <xf numFmtId="0" fontId="16" fillId="0" borderId="0"/>
    <xf numFmtId="164" fontId="1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  <xf numFmtId="165" fontId="16" fillId="0" borderId="0" applyBorder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165" fontId="6" fillId="0" borderId="1" xfId="1" applyFont="1" applyBorder="1" applyAlignment="1" applyProtection="1"/>
    <xf numFmtId="10" fontId="6" fillId="0" borderId="1" xfId="0" applyNumberFormat="1" applyFont="1" applyBorder="1"/>
    <xf numFmtId="165" fontId="8" fillId="0" borderId="1" xfId="0" applyNumberFormat="1" applyFont="1" applyBorder="1"/>
    <xf numFmtId="0" fontId="9" fillId="0" borderId="0" xfId="0" applyFont="1" applyAlignment="1">
      <alignment wrapText="1"/>
    </xf>
    <xf numFmtId="0" fontId="9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wrapText="1"/>
    </xf>
    <xf numFmtId="0" fontId="13" fillId="6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7" fontId="9" fillId="0" borderId="4" xfId="2" applyFont="1" applyBorder="1" applyAlignment="1" applyProtection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167" fontId="10" fillId="6" borderId="4" xfId="0" applyNumberFormat="1" applyFont="1" applyFill="1" applyBorder="1" applyAlignment="1">
      <alignment wrapText="1"/>
    </xf>
    <xf numFmtId="10" fontId="10" fillId="0" borderId="4" xfId="0" applyNumberFormat="1" applyFont="1" applyBorder="1" applyAlignment="1">
      <alignment horizontal="center" wrapText="1"/>
    </xf>
    <xf numFmtId="167" fontId="10" fillId="0" borderId="4" xfId="0" applyNumberFormat="1" applyFont="1" applyBorder="1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/>
    </xf>
    <xf numFmtId="165" fontId="8" fillId="0" borderId="0" xfId="1" applyFont="1" applyBorder="1" applyAlignment="1" applyProtection="1">
      <alignment vertical="center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6" borderId="4" xfId="0" applyNumberFormat="1" applyFont="1" applyFill="1" applyBorder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 wrapText="1"/>
    </xf>
    <xf numFmtId="168" fontId="6" fillId="0" borderId="4" xfId="0" applyNumberFormat="1" applyFont="1" applyBorder="1" applyAlignment="1">
      <alignment vertical="center"/>
    </xf>
    <xf numFmtId="165" fontId="6" fillId="0" borderId="4" xfId="1" applyFont="1" applyBorder="1" applyAlignment="1" applyProtection="1">
      <alignment vertical="center"/>
    </xf>
    <xf numFmtId="4" fontId="6" fillId="0" borderId="4" xfId="0" applyNumberFormat="1" applyFont="1" applyBorder="1" applyAlignment="1">
      <alignment horizontal="right" vertical="center"/>
    </xf>
    <xf numFmtId="168" fontId="8" fillId="0" borderId="4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4" fontId="6" fillId="0" borderId="4" xfId="1" applyNumberFormat="1" applyFont="1" applyBorder="1" applyAlignment="1" applyProtection="1">
      <alignment horizontal="right" vertical="center"/>
    </xf>
    <xf numFmtId="0" fontId="3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wrapText="1"/>
    </xf>
    <xf numFmtId="0" fontId="11" fillId="6" borderId="6" xfId="0" applyFont="1" applyFill="1" applyBorder="1" applyAlignment="1">
      <alignment horizontal="center" vertical="top" wrapText="1"/>
    </xf>
    <xf numFmtId="0" fontId="11" fillId="6" borderId="7" xfId="0" applyFont="1" applyFill="1" applyBorder="1" applyAlignment="1">
      <alignment horizontal="center" vertical="top" wrapText="1"/>
    </xf>
    <xf numFmtId="0" fontId="11" fillId="6" borderId="8" xfId="0" applyFont="1" applyFill="1" applyBorder="1" applyAlignment="1">
      <alignment horizontal="center" vertical="top" wrapText="1"/>
    </xf>
    <xf numFmtId="0" fontId="11" fillId="6" borderId="4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</cellXfs>
  <cellStyles count="13">
    <cellStyle name="Moeda" xfId="2" builtinId="4"/>
    <cellStyle name="Normal" xfId="0" builtinId="0"/>
    <cellStyle name="Normal 2" xfId="4"/>
    <cellStyle name="Porcentagem" xfId="3" builtinId="5"/>
    <cellStyle name="Vírgula" xfId="1" builtinId="3"/>
    <cellStyle name="Vírgula 2" xfId="5"/>
    <cellStyle name="Vírgula 3" xfId="6"/>
    <cellStyle name="Vírgula 3 2" xfId="7"/>
    <cellStyle name="Vírgula 4" xfId="8"/>
    <cellStyle name="Vírgula 4 2" xfId="9"/>
    <cellStyle name="Vírgula 5" xfId="10"/>
    <cellStyle name="Vírgula 5 2" xfId="11"/>
    <cellStyle name="Vírgula 6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1714501</xdr:colOff>
      <xdr:row>1</xdr:row>
      <xdr:rowOff>152400</xdr:rowOff>
    </xdr:from>
    <xdr:to>
      <xdr:col>4</xdr:col>
      <xdr:colOff>238126</xdr:colOff>
      <xdr:row>8</xdr:row>
      <xdr:rowOff>43565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1" y="342900"/>
          <a:ext cx="3219450" cy="1224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00" zoomScaleNormal="115" workbookViewId="0">
      <selection activeCell="D129" sqref="D129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79" t="s">
        <v>14</v>
      </c>
      <c r="B13" s="79"/>
      <c r="C13" s="7" t="s">
        <v>15</v>
      </c>
      <c r="D13" s="7">
        <v>52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18</v>
      </c>
      <c r="D17" s="79"/>
    </row>
    <row r="18" spans="1:4" x14ac:dyDescent="0.25">
      <c r="A18" s="4">
        <v>2</v>
      </c>
      <c r="B18" s="4" t="s">
        <v>19</v>
      </c>
      <c r="C18" s="79" t="s">
        <v>20</v>
      </c>
      <c r="D18" s="79"/>
    </row>
    <row r="19" spans="1:4" x14ac:dyDescent="0.25">
      <c r="A19" s="4">
        <v>3</v>
      </c>
      <c r="B19" s="4" t="s">
        <v>21</v>
      </c>
      <c r="C19" s="80">
        <v>1212.03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1212.03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1212.03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523.74819999999988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235.61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532.69000000000005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523.74819999999988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4.96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0.39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1.93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22.3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8.1999999999999993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36.840000000000003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74.62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23.72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14.18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0.51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8.5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2.86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49.769999999999996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49.769999999999996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49.769999999999996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1.08</v>
      </c>
    </row>
    <row r="128" spans="1:4" x14ac:dyDescent="0.25">
      <c r="A128" s="8" t="s">
        <v>8</v>
      </c>
      <c r="B128" s="11" t="s">
        <v>96</v>
      </c>
      <c r="C128" s="11"/>
      <c r="D128" s="12">
        <v>4.4800000000000004</v>
      </c>
    </row>
    <row r="129" spans="1:4" ht="12.75" customHeight="1" x14ac:dyDescent="0.25">
      <c r="A129" s="82" t="s">
        <v>56</v>
      </c>
      <c r="B129" s="82"/>
      <c r="C129" s="82"/>
      <c r="D129" s="13">
        <f>SUM(D125:D128)</f>
        <v>31.26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132.98641000000001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167.56287659999998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280.31089500919541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21.063769999999998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97.217399999999998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162.029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580.86018160919537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1212.03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1292.0482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74.62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49.769999999999996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31.26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2659.7282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580.86018160919537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3240.58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150</v>
      </c>
      <c r="B1" s="91"/>
      <c r="C1" s="91"/>
      <c r="D1" s="91"/>
      <c r="E1" s="91"/>
    </row>
    <row r="3" spans="1:5" x14ac:dyDescent="0.25">
      <c r="A3" s="92" t="s">
        <v>18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serv!D33</f>
        <v>1212.03</v>
      </c>
    </row>
    <row r="5" spans="1:5" x14ac:dyDescent="0.25">
      <c r="A5" s="33" t="s">
        <v>4</v>
      </c>
      <c r="B5" s="93" t="s">
        <v>121</v>
      </c>
      <c r="C5" s="93"/>
      <c r="D5" s="36">
        <f>serv!C57</f>
        <v>0.36800000000000005</v>
      </c>
      <c r="E5" s="35">
        <f>E4*D5</f>
        <v>446.02704000000006</v>
      </c>
    </row>
    <row r="6" spans="1:5" x14ac:dyDescent="0.25">
      <c r="A6" s="33" t="s">
        <v>6</v>
      </c>
      <c r="B6" s="93" t="s">
        <v>99</v>
      </c>
      <c r="C6" s="93"/>
      <c r="D6" s="36">
        <f>serv!C135</f>
        <v>0.05</v>
      </c>
      <c r="E6" s="35">
        <f>TRUNC((E4+E5)*D6,2)</f>
        <v>82.9</v>
      </c>
    </row>
    <row r="7" spans="1:5" x14ac:dyDescent="0.25">
      <c r="A7" s="33" t="s">
        <v>8</v>
      </c>
      <c r="B7" s="93" t="s">
        <v>100</v>
      </c>
      <c r="C7" s="93"/>
      <c r="D7" s="36">
        <f>serv!C136</f>
        <v>0.06</v>
      </c>
      <c r="E7" s="35">
        <f>TRUNC((E4+E5+E6)*D7,2)</f>
        <v>104.45</v>
      </c>
    </row>
    <row r="8" spans="1:5" x14ac:dyDescent="0.25">
      <c r="A8" s="33" t="s">
        <v>31</v>
      </c>
      <c r="B8" s="93" t="s">
        <v>101</v>
      </c>
      <c r="C8" s="93"/>
      <c r="D8" s="36">
        <f>serv!C137</f>
        <v>8.6499999999999994E-2</v>
      </c>
      <c r="E8" s="35">
        <f>TRUNC((E4+E5+E6+E7)*D8/(1-D8),2)</f>
        <v>174.74</v>
      </c>
    </row>
    <row r="9" spans="1:5" x14ac:dyDescent="0.25">
      <c r="A9" s="94" t="s">
        <v>122</v>
      </c>
      <c r="B9" s="94"/>
      <c r="C9" s="94"/>
      <c r="D9" s="94"/>
      <c r="E9" s="35">
        <f>SUM(E4:E8)</f>
        <v>2020.1470400000003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9.18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13.77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18.36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16</v>
      </c>
      <c r="E15" s="35">
        <f>D15*E11</f>
        <v>220.32</v>
      </c>
    </row>
    <row r="16" spans="1:5" x14ac:dyDescent="0.25">
      <c r="A16" s="33" t="s">
        <v>131</v>
      </c>
      <c r="B16" s="93" t="s">
        <v>132</v>
      </c>
      <c r="C16" s="93"/>
      <c r="D16" s="33">
        <v>32</v>
      </c>
      <c r="E16" s="35">
        <f>D16*E12</f>
        <v>587.52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807.83999999999992</v>
      </c>
    </row>
    <row r="18" spans="1:5" x14ac:dyDescent="0.25">
      <c r="A18" s="94" t="s">
        <v>134</v>
      </c>
      <c r="B18" s="94"/>
      <c r="C18" s="94"/>
      <c r="D18" s="94"/>
      <c r="E18" s="33">
        <v>52</v>
      </c>
    </row>
    <row r="19" spans="1:5" x14ac:dyDescent="0.25">
      <c r="A19" s="96" t="s">
        <v>135</v>
      </c>
      <c r="B19" s="96"/>
      <c r="C19" s="96"/>
      <c r="D19" s="96"/>
      <c r="E19" s="37">
        <f>E17*E18</f>
        <v>42007.679999999993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4</v>
      </c>
      <c r="E21" s="33">
        <v>4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2179.84</v>
      </c>
      <c r="E24" s="35">
        <f>SUM(E22:E23)*$E$18*E21</f>
        <v>4010.2400000000002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108.99</v>
      </c>
      <c r="E25" s="35">
        <f>TRUNC((E24)*$C$25,2)</f>
        <v>200.51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137.32</v>
      </c>
      <c r="E26" s="35">
        <f>TRUNC((E24+E25)*$C$26,2)</f>
        <v>252.64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229.73</v>
      </c>
      <c r="E27" s="35">
        <f>TRUNC((E24+E25+E26)*$C$27/(1-$C$27),2)</f>
        <v>422.64</v>
      </c>
    </row>
    <row r="28" spans="1:5" x14ac:dyDescent="0.25">
      <c r="A28" s="98" t="s">
        <v>147</v>
      </c>
      <c r="B28" s="98"/>
      <c r="C28" s="98"/>
      <c r="D28" s="35">
        <f>SUM(D24:D27)</f>
        <v>2655.88</v>
      </c>
      <c r="E28" s="35">
        <f>SUM(E24:E27)</f>
        <v>4886.0300000000007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7541.9100000000008</v>
      </c>
    </row>
    <row r="30" spans="1:5" x14ac:dyDescent="0.25">
      <c r="A30" s="96" t="s">
        <v>149</v>
      </c>
      <c r="B30" s="96"/>
      <c r="C30" s="96"/>
      <c r="D30" s="96"/>
      <c r="E30" s="37">
        <f>E19+E29</f>
        <v>49549.59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150</v>
      </c>
      <c r="B1" s="91"/>
      <c r="C1" s="91"/>
      <c r="D1" s="91"/>
      <c r="E1" s="91"/>
    </row>
    <row r="3" spans="1:5" x14ac:dyDescent="0.25">
      <c r="A3" s="92" t="s">
        <v>116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superv!D33</f>
        <v>1668.21</v>
      </c>
    </row>
    <row r="5" spans="1:5" x14ac:dyDescent="0.25">
      <c r="A5" s="33" t="s">
        <v>4</v>
      </c>
      <c r="B5" s="93" t="s">
        <v>121</v>
      </c>
      <c r="C5" s="93"/>
      <c r="D5" s="36">
        <f>superv!C57</f>
        <v>0.36800000000000005</v>
      </c>
      <c r="E5" s="35">
        <f>E4*D5</f>
        <v>613.90128000000004</v>
      </c>
    </row>
    <row r="6" spans="1:5" x14ac:dyDescent="0.25">
      <c r="A6" s="33" t="s">
        <v>6</v>
      </c>
      <c r="B6" s="93" t="s">
        <v>99</v>
      </c>
      <c r="C6" s="93"/>
      <c r="D6" s="36">
        <f>superv!C135</f>
        <v>0.05</v>
      </c>
      <c r="E6" s="35">
        <f>TRUNC((E4+E5)*D6,2)</f>
        <v>114.1</v>
      </c>
    </row>
    <row r="7" spans="1:5" x14ac:dyDescent="0.25">
      <c r="A7" s="33" t="s">
        <v>8</v>
      </c>
      <c r="B7" s="93" t="s">
        <v>100</v>
      </c>
      <c r="C7" s="93"/>
      <c r="D7" s="36">
        <f>superv!C136</f>
        <v>0.06</v>
      </c>
      <c r="E7" s="35">
        <f>TRUNC((E4+E5+E6)*D7,2)</f>
        <v>143.77000000000001</v>
      </c>
    </row>
    <row r="8" spans="1:5" x14ac:dyDescent="0.25">
      <c r="A8" s="33" t="s">
        <v>31</v>
      </c>
      <c r="B8" s="93" t="s">
        <v>101</v>
      </c>
      <c r="C8" s="93"/>
      <c r="D8" s="36">
        <f>superv!C137</f>
        <v>8.6499999999999994E-2</v>
      </c>
      <c r="E8" s="35">
        <f>TRUNC((E4+E5+E6+E7)*D8/(1-D8),2)</f>
        <v>240.51</v>
      </c>
    </row>
    <row r="9" spans="1:5" x14ac:dyDescent="0.25">
      <c r="A9" s="94" t="s">
        <v>122</v>
      </c>
      <c r="B9" s="94"/>
      <c r="C9" s="94"/>
      <c r="D9" s="94"/>
      <c r="E9" s="35">
        <f>SUM(E4:E8)</f>
        <v>2780.4912800000002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12.63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18.940000000000001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25.26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16</v>
      </c>
      <c r="E15" s="35">
        <f>D15*E11</f>
        <v>303.04000000000002</v>
      </c>
    </row>
    <row r="16" spans="1:5" x14ac:dyDescent="0.25">
      <c r="A16" s="33" t="s">
        <v>131</v>
      </c>
      <c r="B16" s="93" t="s">
        <v>132</v>
      </c>
      <c r="C16" s="93"/>
      <c r="D16" s="33">
        <v>32</v>
      </c>
      <c r="E16" s="35">
        <f>D16*E12</f>
        <v>808.32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1111.3600000000001</v>
      </c>
    </row>
    <row r="18" spans="1:5" x14ac:dyDescent="0.25">
      <c r="A18" s="94" t="s">
        <v>134</v>
      </c>
      <c r="B18" s="94"/>
      <c r="C18" s="94"/>
      <c r="D18" s="94"/>
      <c r="E18" s="33">
        <v>2</v>
      </c>
    </row>
    <row r="19" spans="1:5" x14ac:dyDescent="0.25">
      <c r="A19" s="96" t="s">
        <v>135</v>
      </c>
      <c r="B19" s="96"/>
      <c r="C19" s="96"/>
      <c r="D19" s="96"/>
      <c r="E19" s="37">
        <f>E17*E18</f>
        <v>2222.7200000000003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4</v>
      </c>
      <c r="E21" s="33">
        <v>4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83.84</v>
      </c>
      <c r="E24" s="35">
        <f>SUM(E22:E23)*$E$18*E21</f>
        <v>154.24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4.1900000000000004</v>
      </c>
      <c r="E25" s="35">
        <f>TRUNC((E24)*$C$25,2)</f>
        <v>7.71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5.28</v>
      </c>
      <c r="E26" s="35">
        <f>TRUNC((E24+E25)*$C$26,2)</f>
        <v>9.7100000000000009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8.83</v>
      </c>
      <c r="E27" s="35">
        <f>TRUNC((E24+E25+E26)*$C$27/(1-$C$27),2)</f>
        <v>16.25</v>
      </c>
    </row>
    <row r="28" spans="1:5" x14ac:dyDescent="0.25">
      <c r="A28" s="98" t="s">
        <v>147</v>
      </c>
      <c r="B28" s="98"/>
      <c r="C28" s="98"/>
      <c r="D28" s="35">
        <f>SUM(D24:D27)</f>
        <v>102.14</v>
      </c>
      <c r="E28" s="35">
        <f>SUM(E24:E27)</f>
        <v>187.91000000000003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290.05</v>
      </c>
    </row>
    <row r="30" spans="1:5" x14ac:dyDescent="0.25">
      <c r="A30" s="96" t="s">
        <v>149</v>
      </c>
      <c r="B30" s="96"/>
      <c r="C30" s="96"/>
      <c r="D30" s="96"/>
      <c r="E30" s="37">
        <f>E19+E29</f>
        <v>2512.7700000000004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150</v>
      </c>
      <c r="B1" s="91"/>
      <c r="C1" s="91"/>
      <c r="D1" s="91"/>
      <c r="E1" s="91"/>
    </row>
    <row r="3" spans="1:5" x14ac:dyDescent="0.25">
      <c r="A3" s="92" t="s">
        <v>118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cabturm!D33</f>
        <v>1297.6199999999999</v>
      </c>
    </row>
    <row r="5" spans="1:5" x14ac:dyDescent="0.25">
      <c r="A5" s="33" t="s">
        <v>4</v>
      </c>
      <c r="B5" s="93" t="s">
        <v>121</v>
      </c>
      <c r="C5" s="93"/>
      <c r="D5" s="36">
        <f>cabturm!C57</f>
        <v>0.36800000000000005</v>
      </c>
      <c r="E5" s="35">
        <f>E4*D5</f>
        <v>477.52416000000005</v>
      </c>
    </row>
    <row r="6" spans="1:5" x14ac:dyDescent="0.25">
      <c r="A6" s="33" t="s">
        <v>6</v>
      </c>
      <c r="B6" s="93" t="s">
        <v>99</v>
      </c>
      <c r="C6" s="93"/>
      <c r="D6" s="36">
        <f>cabturm!C135</f>
        <v>0.05</v>
      </c>
      <c r="E6" s="35">
        <f>TRUNC((E4+E5)*D6,2)</f>
        <v>88.75</v>
      </c>
    </row>
    <row r="7" spans="1:5" x14ac:dyDescent="0.25">
      <c r="A7" s="33" t="s">
        <v>8</v>
      </c>
      <c r="B7" s="93" t="s">
        <v>100</v>
      </c>
      <c r="C7" s="93"/>
      <c r="D7" s="36">
        <f>cabturm!C136</f>
        <v>0.06</v>
      </c>
      <c r="E7" s="35">
        <f>TRUNC((E4+E5+E6)*D7,2)</f>
        <v>111.83</v>
      </c>
    </row>
    <row r="8" spans="1:5" x14ac:dyDescent="0.25">
      <c r="A8" s="33" t="s">
        <v>31</v>
      </c>
      <c r="B8" s="93" t="s">
        <v>101</v>
      </c>
      <c r="C8" s="93"/>
      <c r="D8" s="36">
        <f>cabturm!C137</f>
        <v>8.6499999999999994E-2</v>
      </c>
      <c r="E8" s="35">
        <f>TRUNC((E4+E5+E6+E7)*D8/(1-D8),2)</f>
        <v>187.08</v>
      </c>
    </row>
    <row r="9" spans="1:5" x14ac:dyDescent="0.25">
      <c r="A9" s="94" t="s">
        <v>122</v>
      </c>
      <c r="B9" s="94"/>
      <c r="C9" s="94"/>
      <c r="D9" s="94"/>
      <c r="E9" s="35">
        <f>SUM(E4:E8)</f>
        <v>2162.8041599999997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9.83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14.74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19.66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16</v>
      </c>
      <c r="E15" s="35">
        <f>D15*E11</f>
        <v>235.84</v>
      </c>
    </row>
    <row r="16" spans="1:5" x14ac:dyDescent="0.25">
      <c r="A16" s="33" t="s">
        <v>131</v>
      </c>
      <c r="B16" s="93" t="s">
        <v>132</v>
      </c>
      <c r="C16" s="93"/>
      <c r="D16" s="33">
        <v>32</v>
      </c>
      <c r="E16" s="35">
        <f>D16*E12</f>
        <v>629.12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864.96</v>
      </c>
    </row>
    <row r="18" spans="1:5" x14ac:dyDescent="0.25">
      <c r="A18" s="94" t="s">
        <v>134</v>
      </c>
      <c r="B18" s="94"/>
      <c r="C18" s="94"/>
      <c r="D18" s="94"/>
      <c r="E18" s="33">
        <v>1</v>
      </c>
    </row>
    <row r="19" spans="1:5" x14ac:dyDescent="0.25">
      <c r="A19" s="96" t="s">
        <v>135</v>
      </c>
      <c r="B19" s="96"/>
      <c r="C19" s="96"/>
      <c r="D19" s="96"/>
      <c r="E19" s="37">
        <f>E17*E18</f>
        <v>864.96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4</v>
      </c>
      <c r="E21" s="33">
        <v>4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41.92</v>
      </c>
      <c r="E24" s="35">
        <f>SUM(E22:E23)*$E$18*E21</f>
        <v>77.12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2.09</v>
      </c>
      <c r="E25" s="35">
        <f>TRUNC((E24)*$C$25,2)</f>
        <v>3.85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2.64</v>
      </c>
      <c r="E26" s="35">
        <f>TRUNC((E24+E25)*$C$26,2)</f>
        <v>4.8499999999999996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4.41</v>
      </c>
      <c r="E27" s="35">
        <f>TRUNC((E24+E25+E26)*$C$27/(1-$C$27),2)</f>
        <v>8.1199999999999992</v>
      </c>
    </row>
    <row r="28" spans="1:5" x14ac:dyDescent="0.25">
      <c r="A28" s="98" t="s">
        <v>147</v>
      </c>
      <c r="B28" s="98"/>
      <c r="C28" s="98"/>
      <c r="D28" s="35">
        <f>SUM(D24:D27)</f>
        <v>51.06</v>
      </c>
      <c r="E28" s="35">
        <f>SUM(E24:E27)</f>
        <v>93.94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145</v>
      </c>
    </row>
    <row r="30" spans="1:5" x14ac:dyDescent="0.25">
      <c r="A30" s="96" t="s">
        <v>149</v>
      </c>
      <c r="B30" s="96"/>
      <c r="C30" s="96"/>
      <c r="D30" s="96"/>
      <c r="E30" s="37">
        <f>E19+E29</f>
        <v>1009.96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topLeftCell="A5" zoomScaleNormal="100" workbookViewId="0">
      <selection activeCell="F47" sqref="F47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41" customFormat="1" ht="71.25" customHeight="1" x14ac:dyDescent="0.25">
      <c r="A1" s="101" t="s">
        <v>151</v>
      </c>
      <c r="B1" s="102"/>
      <c r="C1" s="102"/>
      <c r="D1" s="102"/>
      <c r="E1" s="102"/>
      <c r="F1" s="103"/>
      <c r="G1" s="40"/>
      <c r="H1" s="40"/>
      <c r="I1" s="40"/>
      <c r="J1" s="40"/>
      <c r="K1" s="40"/>
      <c r="L1" s="40"/>
      <c r="M1" s="40"/>
      <c r="AMJ1" s="32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6</v>
      </c>
      <c r="B3" s="66" t="s">
        <v>158</v>
      </c>
      <c r="C3" s="43" t="s">
        <v>200</v>
      </c>
      <c r="D3" s="43">
        <v>24</v>
      </c>
      <c r="E3" s="45">
        <v>3.02</v>
      </c>
      <c r="F3" s="45">
        <f t="shared" ref="F3:F15" si="0">(ROUND(E3,2)*D3)</f>
        <v>72.48</v>
      </c>
    </row>
    <row r="4" spans="1:1024" x14ac:dyDescent="0.25">
      <c r="A4" s="43">
        <v>7</v>
      </c>
      <c r="B4" s="66" t="s">
        <v>244</v>
      </c>
      <c r="C4" s="43" t="s">
        <v>200</v>
      </c>
      <c r="D4" s="43">
        <v>15</v>
      </c>
      <c r="E4" s="45">
        <v>9.27</v>
      </c>
      <c r="F4" s="45">
        <f t="shared" si="0"/>
        <v>139.04999999999998</v>
      </c>
    </row>
    <row r="5" spans="1:1024" x14ac:dyDescent="0.25">
      <c r="A5" s="43">
        <v>8</v>
      </c>
      <c r="B5" s="66" t="s">
        <v>245</v>
      </c>
      <c r="C5" s="43" t="s">
        <v>200</v>
      </c>
      <c r="D5" s="43">
        <v>45</v>
      </c>
      <c r="E5" s="45">
        <v>11.63</v>
      </c>
      <c r="F5" s="45">
        <f t="shared" si="0"/>
        <v>523.35</v>
      </c>
    </row>
    <row r="6" spans="1:1024" x14ac:dyDescent="0.25">
      <c r="A6" s="43">
        <v>9</v>
      </c>
      <c r="B6" s="66" t="s">
        <v>246</v>
      </c>
      <c r="C6" s="43" t="s">
        <v>208</v>
      </c>
      <c r="D6" s="43">
        <v>25</v>
      </c>
      <c r="E6" s="45">
        <v>9.2899999999999991</v>
      </c>
      <c r="F6" s="45">
        <f t="shared" si="0"/>
        <v>232.24999999999997</v>
      </c>
    </row>
    <row r="7" spans="1:1024" x14ac:dyDescent="0.25">
      <c r="A7" s="43">
        <v>10</v>
      </c>
      <c r="B7" s="66" t="s">
        <v>247</v>
      </c>
      <c r="C7" s="43" t="s">
        <v>208</v>
      </c>
      <c r="D7" s="43">
        <v>10</v>
      </c>
      <c r="E7" s="45">
        <v>16.68</v>
      </c>
      <c r="F7" s="45">
        <f t="shared" si="0"/>
        <v>166.8</v>
      </c>
    </row>
    <row r="8" spans="1:1024" x14ac:dyDescent="0.25">
      <c r="A8" s="43">
        <v>11</v>
      </c>
      <c r="B8" s="66" t="s">
        <v>248</v>
      </c>
      <c r="C8" s="43" t="s">
        <v>208</v>
      </c>
      <c r="D8" s="43">
        <v>15</v>
      </c>
      <c r="E8" s="45">
        <v>7.71</v>
      </c>
      <c r="F8" s="45">
        <f t="shared" si="0"/>
        <v>115.65</v>
      </c>
    </row>
    <row r="9" spans="1:1024" x14ac:dyDescent="0.25">
      <c r="A9" s="43">
        <v>12</v>
      </c>
      <c r="B9" s="66" t="s">
        <v>159</v>
      </c>
      <c r="C9" s="43" t="s">
        <v>200</v>
      </c>
      <c r="D9" s="43">
        <v>10</v>
      </c>
      <c r="E9" s="45">
        <v>16.690000000000001</v>
      </c>
      <c r="F9" s="45">
        <f t="shared" si="0"/>
        <v>166.9</v>
      </c>
    </row>
    <row r="10" spans="1:1024" x14ac:dyDescent="0.25">
      <c r="A10" s="43">
        <v>13</v>
      </c>
      <c r="B10" s="66" t="s">
        <v>160</v>
      </c>
      <c r="C10" s="43" t="s">
        <v>200</v>
      </c>
      <c r="D10" s="43">
        <v>25</v>
      </c>
      <c r="E10" s="45">
        <v>9.6199999999999992</v>
      </c>
      <c r="F10" s="45">
        <f t="shared" si="0"/>
        <v>240.49999999999997</v>
      </c>
    </row>
    <row r="11" spans="1:1024" x14ac:dyDescent="0.25">
      <c r="A11" s="43">
        <v>14</v>
      </c>
      <c r="B11" s="66" t="s">
        <v>161</v>
      </c>
      <c r="C11" s="43" t="s">
        <v>208</v>
      </c>
      <c r="D11" s="43">
        <v>100</v>
      </c>
      <c r="E11" s="45">
        <v>2</v>
      </c>
      <c r="F11" s="45">
        <f t="shared" si="0"/>
        <v>200</v>
      </c>
    </row>
    <row r="12" spans="1:1024" x14ac:dyDescent="0.25">
      <c r="A12" s="43">
        <v>15</v>
      </c>
      <c r="B12" s="66" t="s">
        <v>162</v>
      </c>
      <c r="C12" s="43" t="s">
        <v>208</v>
      </c>
      <c r="D12" s="43">
        <v>24</v>
      </c>
      <c r="E12" s="45">
        <v>1.87</v>
      </c>
      <c r="F12" s="45">
        <f t="shared" si="0"/>
        <v>44.88</v>
      </c>
    </row>
    <row r="13" spans="1:1024" x14ac:dyDescent="0.25">
      <c r="A13" s="43">
        <v>16</v>
      </c>
      <c r="B13" s="66" t="s">
        <v>163</v>
      </c>
      <c r="C13" s="43" t="s">
        <v>200</v>
      </c>
      <c r="D13" s="43">
        <v>25</v>
      </c>
      <c r="E13" s="45">
        <v>15.6</v>
      </c>
      <c r="F13" s="45">
        <f t="shared" si="0"/>
        <v>390</v>
      </c>
    </row>
    <row r="14" spans="1:1024" x14ac:dyDescent="0.25">
      <c r="A14" s="43">
        <v>17</v>
      </c>
      <c r="B14" s="66" t="s">
        <v>164</v>
      </c>
      <c r="C14" s="43" t="s">
        <v>208</v>
      </c>
      <c r="D14" s="43">
        <v>5</v>
      </c>
      <c r="E14" s="45">
        <v>8.36</v>
      </c>
      <c r="F14" s="45">
        <f t="shared" si="0"/>
        <v>41.8</v>
      </c>
    </row>
    <row r="15" spans="1:1024" x14ac:dyDescent="0.25">
      <c r="A15" s="43">
        <v>49</v>
      </c>
      <c r="B15" s="66" t="s">
        <v>255</v>
      </c>
      <c r="C15" s="43" t="s">
        <v>208</v>
      </c>
      <c r="D15" s="43">
        <v>1</v>
      </c>
      <c r="E15" s="45">
        <v>224.23</v>
      </c>
      <c r="F15" s="45">
        <f t="shared" si="0"/>
        <v>224.23</v>
      </c>
    </row>
    <row r="16" spans="1:1024" x14ac:dyDescent="0.25">
      <c r="A16" s="43">
        <v>18</v>
      </c>
      <c r="B16" s="66" t="s">
        <v>165</v>
      </c>
      <c r="C16" s="43" t="s">
        <v>208</v>
      </c>
      <c r="D16" s="43">
        <v>10</v>
      </c>
      <c r="E16" s="45">
        <v>3.13</v>
      </c>
      <c r="F16" s="45">
        <f t="shared" ref="F16:F46" si="1">(ROUND(E16,2)*D16)</f>
        <v>31.299999999999997</v>
      </c>
    </row>
    <row r="17" spans="1:6" x14ac:dyDescent="0.25">
      <c r="A17" s="43">
        <v>19</v>
      </c>
      <c r="B17" s="66" t="s">
        <v>166</v>
      </c>
      <c r="C17" s="43" t="s">
        <v>208</v>
      </c>
      <c r="D17" s="43">
        <v>5</v>
      </c>
      <c r="E17" s="45">
        <v>20.62</v>
      </c>
      <c r="F17" s="45">
        <f t="shared" si="1"/>
        <v>103.10000000000001</v>
      </c>
    </row>
    <row r="18" spans="1:6" x14ac:dyDescent="0.25">
      <c r="A18" s="43">
        <v>20</v>
      </c>
      <c r="B18" s="66" t="s">
        <v>167</v>
      </c>
      <c r="C18" s="43" t="s">
        <v>209</v>
      </c>
      <c r="D18" s="43">
        <v>10</v>
      </c>
      <c r="E18" s="45">
        <v>2.67</v>
      </c>
      <c r="F18" s="45">
        <f t="shared" si="1"/>
        <v>26.7</v>
      </c>
    </row>
    <row r="19" spans="1:6" x14ac:dyDescent="0.25">
      <c r="A19" s="43">
        <v>21</v>
      </c>
      <c r="B19" s="66" t="s">
        <v>168</v>
      </c>
      <c r="C19" s="43" t="s">
        <v>208</v>
      </c>
      <c r="D19" s="43">
        <v>24</v>
      </c>
      <c r="E19" s="45">
        <v>1.66</v>
      </c>
      <c r="F19" s="45">
        <f t="shared" si="1"/>
        <v>39.839999999999996</v>
      </c>
    </row>
    <row r="20" spans="1:6" x14ac:dyDescent="0.25">
      <c r="A20" s="43">
        <v>22</v>
      </c>
      <c r="B20" s="66" t="s">
        <v>249</v>
      </c>
      <c r="C20" s="43" t="s">
        <v>209</v>
      </c>
      <c r="D20" s="43">
        <v>10</v>
      </c>
      <c r="E20" s="45">
        <v>5.99</v>
      </c>
      <c r="F20" s="45">
        <f t="shared" si="1"/>
        <v>59.900000000000006</v>
      </c>
    </row>
    <row r="21" spans="1:6" x14ac:dyDescent="0.25">
      <c r="A21" s="43">
        <v>23</v>
      </c>
      <c r="B21" s="66" t="s">
        <v>169</v>
      </c>
      <c r="C21" s="43" t="s">
        <v>208</v>
      </c>
      <c r="D21" s="43">
        <v>36</v>
      </c>
      <c r="E21" s="45">
        <v>3.49</v>
      </c>
      <c r="F21" s="45">
        <f t="shared" si="1"/>
        <v>125.64000000000001</v>
      </c>
    </row>
    <row r="22" spans="1:6" x14ac:dyDescent="0.25">
      <c r="A22" s="43">
        <v>24</v>
      </c>
      <c r="B22" s="66" t="s">
        <v>170</v>
      </c>
      <c r="C22" s="43" t="s">
        <v>208</v>
      </c>
      <c r="D22" s="43">
        <v>5</v>
      </c>
      <c r="E22" s="45">
        <v>10.27</v>
      </c>
      <c r="F22" s="45">
        <f t="shared" si="1"/>
        <v>51.349999999999994</v>
      </c>
    </row>
    <row r="23" spans="1:6" x14ac:dyDescent="0.25">
      <c r="A23" s="43">
        <v>25</v>
      </c>
      <c r="B23" s="44" t="s">
        <v>171</v>
      </c>
      <c r="C23" s="43" t="s">
        <v>208</v>
      </c>
      <c r="D23" s="43">
        <v>10</v>
      </c>
      <c r="E23" s="45">
        <v>2.63</v>
      </c>
      <c r="F23" s="45">
        <f t="shared" si="1"/>
        <v>26.299999999999997</v>
      </c>
    </row>
    <row r="24" spans="1:6" x14ac:dyDescent="0.25">
      <c r="A24" s="43">
        <v>26</v>
      </c>
      <c r="B24" s="44" t="s">
        <v>172</v>
      </c>
      <c r="C24" s="43" t="s">
        <v>208</v>
      </c>
      <c r="D24" s="43">
        <v>30</v>
      </c>
      <c r="E24" s="45">
        <v>23.46</v>
      </c>
      <c r="F24" s="45">
        <f t="shared" si="1"/>
        <v>703.80000000000007</v>
      </c>
    </row>
    <row r="25" spans="1:6" x14ac:dyDescent="0.25">
      <c r="A25" s="43">
        <v>27</v>
      </c>
      <c r="B25" s="44" t="s">
        <v>173</v>
      </c>
      <c r="C25" s="43" t="s">
        <v>208</v>
      </c>
      <c r="D25" s="43">
        <v>10</v>
      </c>
      <c r="E25" s="45">
        <v>4.99</v>
      </c>
      <c r="F25" s="45">
        <f t="shared" si="1"/>
        <v>49.900000000000006</v>
      </c>
    </row>
    <row r="26" spans="1:6" x14ac:dyDescent="0.25">
      <c r="A26" s="43">
        <v>28</v>
      </c>
      <c r="B26" s="44" t="s">
        <v>250</v>
      </c>
      <c r="C26" s="43" t="s">
        <v>208</v>
      </c>
      <c r="D26" s="43">
        <v>50</v>
      </c>
      <c r="E26" s="45">
        <v>2.64</v>
      </c>
      <c r="F26" s="45">
        <f t="shared" si="1"/>
        <v>132</v>
      </c>
    </row>
    <row r="27" spans="1:6" x14ac:dyDescent="0.25">
      <c r="A27" s="43">
        <v>29</v>
      </c>
      <c r="B27" s="44" t="s">
        <v>174</v>
      </c>
      <c r="C27" s="43" t="s">
        <v>209</v>
      </c>
      <c r="D27" s="43">
        <v>10</v>
      </c>
      <c r="E27" s="45">
        <v>1.42</v>
      </c>
      <c r="F27" s="45">
        <f t="shared" si="1"/>
        <v>14.2</v>
      </c>
    </row>
    <row r="28" spans="1:6" x14ac:dyDescent="0.25">
      <c r="A28" s="43">
        <v>30</v>
      </c>
      <c r="B28" s="44" t="s">
        <v>175</v>
      </c>
      <c r="C28" s="43" t="s">
        <v>208</v>
      </c>
      <c r="D28" s="43">
        <v>25</v>
      </c>
      <c r="E28" s="45">
        <v>5.0199999999999996</v>
      </c>
      <c r="F28" s="45">
        <f t="shared" si="1"/>
        <v>125.49999999999999</v>
      </c>
    </row>
    <row r="29" spans="1:6" x14ac:dyDescent="0.25">
      <c r="A29" s="43">
        <v>31</v>
      </c>
      <c r="B29" s="44" t="s">
        <v>176</v>
      </c>
      <c r="C29" s="43" t="s">
        <v>208</v>
      </c>
      <c r="D29" s="43">
        <v>35</v>
      </c>
      <c r="E29" s="45">
        <v>3.25</v>
      </c>
      <c r="F29" s="45">
        <f t="shared" si="1"/>
        <v>113.75</v>
      </c>
    </row>
    <row r="30" spans="1:6" ht="38.25" x14ac:dyDescent="0.25">
      <c r="A30" s="43">
        <v>32</v>
      </c>
      <c r="B30" s="44" t="s">
        <v>251</v>
      </c>
      <c r="C30" s="43" t="s">
        <v>207</v>
      </c>
      <c r="D30" s="43">
        <v>50</v>
      </c>
      <c r="E30" s="45">
        <v>102.76</v>
      </c>
      <c r="F30" s="45">
        <f t="shared" si="1"/>
        <v>5138</v>
      </c>
    </row>
    <row r="31" spans="1:6" ht="25.5" x14ac:dyDescent="0.25">
      <c r="A31" s="43">
        <v>33</v>
      </c>
      <c r="B31" s="44" t="s">
        <v>252</v>
      </c>
      <c r="C31" s="43" t="s">
        <v>210</v>
      </c>
      <c r="D31" s="43">
        <v>150</v>
      </c>
      <c r="E31" s="45">
        <v>26.87</v>
      </c>
      <c r="F31" s="45">
        <f t="shared" si="1"/>
        <v>4030.5</v>
      </c>
    </row>
    <row r="32" spans="1:6" x14ac:dyDescent="0.25">
      <c r="A32" s="43">
        <v>34</v>
      </c>
      <c r="B32" s="44" t="s">
        <v>177</v>
      </c>
      <c r="C32" s="43" t="s">
        <v>208</v>
      </c>
      <c r="D32" s="43">
        <v>10</v>
      </c>
      <c r="E32" s="45">
        <v>5.59</v>
      </c>
      <c r="F32" s="45">
        <f t="shared" si="1"/>
        <v>55.9</v>
      </c>
    </row>
    <row r="33" spans="1:6" x14ac:dyDescent="0.25">
      <c r="A33" s="43">
        <v>35</v>
      </c>
      <c r="B33" s="44" t="s">
        <v>178</v>
      </c>
      <c r="C33" s="43" t="s">
        <v>208</v>
      </c>
      <c r="D33" s="43">
        <v>5</v>
      </c>
      <c r="E33" s="45">
        <v>18.149999999999999</v>
      </c>
      <c r="F33" s="45">
        <f t="shared" si="1"/>
        <v>90.75</v>
      </c>
    </row>
    <row r="34" spans="1:6" x14ac:dyDescent="0.25">
      <c r="A34" s="43">
        <v>36</v>
      </c>
      <c r="B34" s="44" t="s">
        <v>179</v>
      </c>
      <c r="C34" s="43" t="s">
        <v>208</v>
      </c>
      <c r="D34" s="43">
        <v>10</v>
      </c>
      <c r="E34" s="45">
        <v>11.94</v>
      </c>
      <c r="F34" s="45">
        <f t="shared" si="1"/>
        <v>119.39999999999999</v>
      </c>
    </row>
    <row r="35" spans="1:6" x14ac:dyDescent="0.25">
      <c r="A35" s="43">
        <v>37</v>
      </c>
      <c r="B35" s="44" t="s">
        <v>180</v>
      </c>
      <c r="C35" s="43" t="s">
        <v>208</v>
      </c>
      <c r="D35" s="43">
        <v>15</v>
      </c>
      <c r="E35" s="45">
        <v>11.54</v>
      </c>
      <c r="F35" s="45">
        <f t="shared" si="1"/>
        <v>173.1</v>
      </c>
    </row>
    <row r="36" spans="1:6" x14ac:dyDescent="0.25">
      <c r="A36" s="43">
        <v>38</v>
      </c>
      <c r="B36" s="44" t="s">
        <v>181</v>
      </c>
      <c r="C36" s="43" t="s">
        <v>208</v>
      </c>
      <c r="D36" s="43">
        <v>15</v>
      </c>
      <c r="E36" s="45">
        <v>7.13</v>
      </c>
      <c r="F36" s="45">
        <f t="shared" si="1"/>
        <v>106.95</v>
      </c>
    </row>
    <row r="37" spans="1:6" x14ac:dyDescent="0.25">
      <c r="A37" s="43">
        <v>39</v>
      </c>
      <c r="B37" s="44" t="s">
        <v>182</v>
      </c>
      <c r="C37" s="43" t="s">
        <v>253</v>
      </c>
      <c r="D37" s="43">
        <v>3</v>
      </c>
      <c r="E37" s="45">
        <v>3.77</v>
      </c>
      <c r="F37" s="45">
        <f t="shared" si="1"/>
        <v>11.31</v>
      </c>
    </row>
    <row r="38" spans="1:6" x14ac:dyDescent="0.25">
      <c r="A38" s="43">
        <v>40</v>
      </c>
      <c r="B38" s="66" t="s">
        <v>183</v>
      </c>
      <c r="C38" s="43" t="s">
        <v>200</v>
      </c>
      <c r="D38" s="43">
        <v>20</v>
      </c>
      <c r="E38" s="45">
        <v>11.98</v>
      </c>
      <c r="F38" s="45">
        <f t="shared" si="1"/>
        <v>239.60000000000002</v>
      </c>
    </row>
    <row r="39" spans="1:6" x14ac:dyDescent="0.25">
      <c r="A39" s="43">
        <v>41</v>
      </c>
      <c r="B39" s="66" t="s">
        <v>184</v>
      </c>
      <c r="C39" s="43" t="s">
        <v>208</v>
      </c>
      <c r="D39" s="43">
        <v>1200</v>
      </c>
      <c r="E39" s="45">
        <v>0.69</v>
      </c>
      <c r="F39" s="45">
        <f t="shared" si="1"/>
        <v>827.99999999999989</v>
      </c>
    </row>
    <row r="40" spans="1:6" x14ac:dyDescent="0.25">
      <c r="A40" s="43">
        <v>42</v>
      </c>
      <c r="B40" s="66" t="s">
        <v>185</v>
      </c>
      <c r="C40" s="43" t="s">
        <v>208</v>
      </c>
      <c r="D40" s="43">
        <v>1200</v>
      </c>
      <c r="E40" s="45">
        <v>1.1299999999999999</v>
      </c>
      <c r="F40" s="45">
        <f t="shared" si="1"/>
        <v>1355.9999999999998</v>
      </c>
    </row>
    <row r="41" spans="1:6" x14ac:dyDescent="0.25">
      <c r="A41" s="43">
        <v>43</v>
      </c>
      <c r="B41" s="66" t="s">
        <v>186</v>
      </c>
      <c r="C41" s="43" t="s">
        <v>208</v>
      </c>
      <c r="D41" s="43">
        <v>1200</v>
      </c>
      <c r="E41" s="45">
        <v>0.33</v>
      </c>
      <c r="F41" s="45">
        <f t="shared" si="1"/>
        <v>396</v>
      </c>
    </row>
    <row r="42" spans="1:6" x14ac:dyDescent="0.25">
      <c r="A42" s="43">
        <v>44</v>
      </c>
      <c r="B42" s="66" t="s">
        <v>254</v>
      </c>
      <c r="C42" s="43" t="s">
        <v>208</v>
      </c>
      <c r="D42" s="43">
        <v>1200</v>
      </c>
      <c r="E42" s="45">
        <v>1.49</v>
      </c>
      <c r="F42" s="45">
        <f t="shared" si="1"/>
        <v>1788</v>
      </c>
    </row>
    <row r="43" spans="1:6" x14ac:dyDescent="0.25">
      <c r="A43" s="43">
        <v>45</v>
      </c>
      <c r="B43" s="66" t="s">
        <v>187</v>
      </c>
      <c r="C43" s="43" t="s">
        <v>208</v>
      </c>
      <c r="D43" s="43">
        <v>1200</v>
      </c>
      <c r="E43" s="45">
        <v>1.25</v>
      </c>
      <c r="F43" s="45">
        <f t="shared" si="1"/>
        <v>1500</v>
      </c>
    </row>
    <row r="44" spans="1:6" x14ac:dyDescent="0.25">
      <c r="A44" s="43">
        <v>46</v>
      </c>
      <c r="B44" s="66" t="s">
        <v>188</v>
      </c>
      <c r="C44" s="43" t="s">
        <v>208</v>
      </c>
      <c r="D44" s="43">
        <v>25</v>
      </c>
      <c r="E44" s="45">
        <v>21.52</v>
      </c>
      <c r="F44" s="45">
        <f t="shared" si="1"/>
        <v>538</v>
      </c>
    </row>
    <row r="45" spans="1:6" x14ac:dyDescent="0.25">
      <c r="A45" s="43">
        <v>47</v>
      </c>
      <c r="B45" s="66" t="s">
        <v>189</v>
      </c>
      <c r="C45" s="43" t="s">
        <v>208</v>
      </c>
      <c r="D45" s="43">
        <v>5</v>
      </c>
      <c r="E45" s="45">
        <v>3.62</v>
      </c>
      <c r="F45" s="45">
        <f t="shared" si="1"/>
        <v>18.100000000000001</v>
      </c>
    </row>
    <row r="46" spans="1:6" x14ac:dyDescent="0.25">
      <c r="A46" s="43">
        <v>48</v>
      </c>
      <c r="B46" s="66" t="s">
        <v>190</v>
      </c>
      <c r="C46" s="43" t="s">
        <v>208</v>
      </c>
      <c r="D46" s="43">
        <v>2</v>
      </c>
      <c r="E46" s="45">
        <v>29.91</v>
      </c>
      <c r="F46" s="45">
        <f t="shared" si="1"/>
        <v>59.82</v>
      </c>
    </row>
    <row r="47" spans="1:6" ht="15.75" customHeight="1" x14ac:dyDescent="0.25">
      <c r="A47" s="47"/>
      <c r="B47" s="47"/>
      <c r="C47" s="100" t="s">
        <v>191</v>
      </c>
      <c r="D47" s="100"/>
      <c r="E47" s="100"/>
      <c r="F47" s="48">
        <f>SUM(F3:F46)</f>
        <v>20610.599999999999</v>
      </c>
    </row>
    <row r="48" spans="1:6" ht="15" customHeight="1" x14ac:dyDescent="0.25">
      <c r="C48" s="99" t="s">
        <v>192</v>
      </c>
      <c r="D48" s="99"/>
      <c r="E48" s="49">
        <v>0.05</v>
      </c>
      <c r="F48" s="50">
        <f>TRUNC((F47)*E48,2)</f>
        <v>1030.53</v>
      </c>
    </row>
    <row r="49" spans="3:6" ht="15" customHeight="1" x14ac:dyDescent="0.25">
      <c r="C49" s="99" t="s">
        <v>193</v>
      </c>
      <c r="D49" s="99"/>
      <c r="E49" s="49">
        <v>0.06</v>
      </c>
      <c r="F49" s="50">
        <f>TRUNC((F47+F48)*E49,2)</f>
        <v>1298.46</v>
      </c>
    </row>
    <row r="50" spans="3:6" ht="15" customHeight="1" x14ac:dyDescent="0.25">
      <c r="C50" s="99" t="s">
        <v>194</v>
      </c>
      <c r="D50" s="99"/>
      <c r="E50" s="49">
        <v>8.6499999999999994E-2</v>
      </c>
      <c r="F50" s="50">
        <f>TRUNC((F47+F48+F49)*E50/(1-E50),2)</f>
        <v>2172.16</v>
      </c>
    </row>
    <row r="51" spans="3:6" ht="15" customHeight="1" x14ac:dyDescent="0.25">
      <c r="C51" s="100" t="s">
        <v>195</v>
      </c>
      <c r="D51" s="100"/>
      <c r="E51" s="100"/>
      <c r="F51" s="48">
        <f>SUM(F47:F50)</f>
        <v>25111.749999999996</v>
      </c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F10" sqref="F10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62" customFormat="1" ht="71.25" customHeight="1" x14ac:dyDescent="0.25">
      <c r="A1" s="104" t="s">
        <v>196</v>
      </c>
      <c r="B1" s="104"/>
      <c r="C1" s="104"/>
      <c r="D1" s="104"/>
      <c r="E1" s="104"/>
      <c r="F1" s="104"/>
      <c r="G1" s="61"/>
      <c r="H1" s="61"/>
      <c r="I1" s="61"/>
      <c r="J1" s="61"/>
      <c r="K1" s="61"/>
      <c r="L1" s="61"/>
      <c r="M1" s="61"/>
      <c r="AMJ1" s="63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50</v>
      </c>
      <c r="B3" s="46" t="s">
        <v>197</v>
      </c>
      <c r="C3" s="43" t="s">
        <v>253</v>
      </c>
      <c r="D3" s="43">
        <v>3750</v>
      </c>
      <c r="E3" s="45">
        <v>1.8</v>
      </c>
      <c r="F3" s="45">
        <f t="shared" ref="F3:F8" si="0">(ROUND(E3,2)*D3)</f>
        <v>6750</v>
      </c>
    </row>
    <row r="4" spans="1:1024" x14ac:dyDescent="0.25">
      <c r="A4" s="43">
        <v>51</v>
      </c>
      <c r="B4" s="46" t="s">
        <v>198</v>
      </c>
      <c r="C4" s="43" t="s">
        <v>253</v>
      </c>
      <c r="D4" s="43">
        <v>50</v>
      </c>
      <c r="E4" s="45">
        <v>1.0900000000000001</v>
      </c>
      <c r="F4" s="45">
        <f t="shared" si="0"/>
        <v>54.500000000000007</v>
      </c>
    </row>
    <row r="5" spans="1:1024" x14ac:dyDescent="0.25">
      <c r="A5" s="43">
        <v>52</v>
      </c>
      <c r="B5" s="46" t="s">
        <v>199</v>
      </c>
      <c r="C5" s="43" t="s">
        <v>200</v>
      </c>
      <c r="D5" s="43">
        <v>50</v>
      </c>
      <c r="E5" s="45">
        <v>20.6</v>
      </c>
      <c r="F5" s="45">
        <f t="shared" si="0"/>
        <v>1030</v>
      </c>
    </row>
    <row r="6" spans="1:1024" x14ac:dyDescent="0.25">
      <c r="A6" s="43">
        <v>53</v>
      </c>
      <c r="B6" s="46" t="s">
        <v>201</v>
      </c>
      <c r="C6" s="43" t="s">
        <v>253</v>
      </c>
      <c r="D6" s="43">
        <v>100</v>
      </c>
      <c r="E6" s="45">
        <v>19.77</v>
      </c>
      <c r="F6" s="45">
        <f t="shared" si="0"/>
        <v>1977</v>
      </c>
    </row>
    <row r="7" spans="1:1024" x14ac:dyDescent="0.25">
      <c r="A7" s="43">
        <v>54</v>
      </c>
      <c r="B7" s="46" t="s">
        <v>202</v>
      </c>
      <c r="C7" s="43" t="s">
        <v>253</v>
      </c>
      <c r="D7" s="43">
        <v>5</v>
      </c>
      <c r="E7" s="45">
        <v>9.52</v>
      </c>
      <c r="F7" s="45">
        <f t="shared" si="0"/>
        <v>47.599999999999994</v>
      </c>
    </row>
    <row r="8" spans="1:1024" x14ac:dyDescent="0.25">
      <c r="A8" s="43">
        <v>55</v>
      </c>
      <c r="B8" s="46" t="s">
        <v>203</v>
      </c>
      <c r="C8" s="43" t="s">
        <v>253</v>
      </c>
      <c r="D8" s="43">
        <v>5</v>
      </c>
      <c r="E8" s="45">
        <v>12.92</v>
      </c>
      <c r="F8" s="45">
        <f t="shared" si="0"/>
        <v>64.599999999999994</v>
      </c>
    </row>
    <row r="9" spans="1:1024" x14ac:dyDescent="0.25">
      <c r="A9" s="43">
        <v>56</v>
      </c>
      <c r="B9" s="46" t="s">
        <v>204</v>
      </c>
      <c r="C9" s="43" t="s">
        <v>205</v>
      </c>
      <c r="D9" s="43">
        <v>10</v>
      </c>
      <c r="E9" s="45">
        <v>4.95</v>
      </c>
      <c r="F9" s="45">
        <f t="shared" ref="F9" si="1">(ROUND(E9,2)*D9)</f>
        <v>49.5</v>
      </c>
    </row>
    <row r="10" spans="1:1024" ht="15.75" customHeight="1" x14ac:dyDescent="0.25">
      <c r="A10" s="47"/>
      <c r="B10" s="47"/>
      <c r="C10" s="100" t="s">
        <v>191</v>
      </c>
      <c r="D10" s="100"/>
      <c r="E10" s="100"/>
      <c r="F10" s="48">
        <f>SUM(F3:F9)</f>
        <v>9973.2000000000007</v>
      </c>
    </row>
    <row r="11" spans="1:1024" ht="15" customHeight="1" x14ac:dyDescent="0.25">
      <c r="C11" s="99" t="s">
        <v>192</v>
      </c>
      <c r="D11" s="99"/>
      <c r="E11" s="49">
        <v>0.05</v>
      </c>
      <c r="F11" s="50">
        <f>TRUNC((F10)*E11,2)</f>
        <v>498.66</v>
      </c>
    </row>
    <row r="12" spans="1:1024" ht="15" customHeight="1" x14ac:dyDescent="0.25">
      <c r="C12" s="99" t="s">
        <v>193</v>
      </c>
      <c r="D12" s="99"/>
      <c r="E12" s="49">
        <v>0.06</v>
      </c>
      <c r="F12" s="50">
        <f>TRUNC((F10+F11)*E12,2)</f>
        <v>628.30999999999995</v>
      </c>
    </row>
    <row r="13" spans="1:1024" ht="15" customHeight="1" x14ac:dyDescent="0.25">
      <c r="C13" s="99" t="s">
        <v>194</v>
      </c>
      <c r="D13" s="99"/>
      <c r="E13" s="49">
        <v>8.6499999999999994E-2</v>
      </c>
      <c r="F13" s="50">
        <f>TRUNC((F10+F11+F12)*E13/(1-E13),2)</f>
        <v>1051.08</v>
      </c>
    </row>
    <row r="14" spans="1:1024" ht="15" customHeight="1" x14ac:dyDescent="0.25">
      <c r="C14" s="100" t="s">
        <v>195</v>
      </c>
      <c r="D14" s="100"/>
      <c r="E14" s="100"/>
      <c r="F14" s="48">
        <f>SUM(F10:F13)</f>
        <v>12151.25</v>
      </c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view="pageBreakPreview" topLeftCell="A24" zoomScaleNormal="100" workbookViewId="0">
      <selection activeCell="D16" sqref="D16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62" customFormat="1" ht="71.25" customHeight="1" x14ac:dyDescent="0.25">
      <c r="A1" s="104" t="s">
        <v>206</v>
      </c>
      <c r="B1" s="104"/>
      <c r="C1" s="104"/>
      <c r="D1" s="104"/>
      <c r="E1" s="104"/>
      <c r="F1" s="104"/>
      <c r="G1" s="61"/>
      <c r="H1" s="61"/>
      <c r="I1" s="61"/>
      <c r="J1" s="61"/>
      <c r="K1" s="61"/>
      <c r="L1" s="61"/>
      <c r="M1" s="61"/>
      <c r="AMJ1" s="63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6</v>
      </c>
      <c r="B3" s="66" t="s">
        <v>158</v>
      </c>
      <c r="C3" s="43" t="s">
        <v>200</v>
      </c>
      <c r="D3" s="43">
        <v>36</v>
      </c>
      <c r="E3" s="45">
        <v>3.02</v>
      </c>
      <c r="F3" s="45">
        <f t="shared" ref="F3:F46" si="0">(ROUND(E3,2)*D3)</f>
        <v>108.72</v>
      </c>
    </row>
    <row r="4" spans="1:1024" x14ac:dyDescent="0.25">
      <c r="A4" s="43">
        <v>7</v>
      </c>
      <c r="B4" s="66" t="s">
        <v>244</v>
      </c>
      <c r="C4" s="43" t="s">
        <v>200</v>
      </c>
      <c r="D4" s="43">
        <v>24</v>
      </c>
      <c r="E4" s="45">
        <v>9.27</v>
      </c>
      <c r="F4" s="45">
        <f t="shared" si="0"/>
        <v>222.48</v>
      </c>
    </row>
    <row r="5" spans="1:1024" x14ac:dyDescent="0.25">
      <c r="A5" s="43">
        <v>8</v>
      </c>
      <c r="B5" s="66" t="s">
        <v>245</v>
      </c>
      <c r="C5" s="43" t="s">
        <v>200</v>
      </c>
      <c r="D5" s="43">
        <v>60</v>
      </c>
      <c r="E5" s="45">
        <v>11.63</v>
      </c>
      <c r="F5" s="45">
        <f t="shared" si="0"/>
        <v>697.80000000000007</v>
      </c>
    </row>
    <row r="6" spans="1:1024" x14ac:dyDescent="0.25">
      <c r="A6" s="43">
        <v>9</v>
      </c>
      <c r="B6" s="66" t="s">
        <v>246</v>
      </c>
      <c r="C6" s="43" t="s">
        <v>208</v>
      </c>
      <c r="D6" s="43">
        <v>30</v>
      </c>
      <c r="E6" s="45">
        <v>9.2899999999999991</v>
      </c>
      <c r="F6" s="45">
        <f t="shared" si="0"/>
        <v>278.7</v>
      </c>
    </row>
    <row r="7" spans="1:1024" x14ac:dyDescent="0.25">
      <c r="A7" s="43">
        <v>10</v>
      </c>
      <c r="B7" s="66" t="s">
        <v>247</v>
      </c>
      <c r="C7" s="43" t="s">
        <v>208</v>
      </c>
      <c r="D7" s="43">
        <v>10</v>
      </c>
      <c r="E7" s="45">
        <v>16.68</v>
      </c>
      <c r="F7" s="45">
        <f t="shared" si="0"/>
        <v>166.8</v>
      </c>
    </row>
    <row r="8" spans="1:1024" x14ac:dyDescent="0.25">
      <c r="A8" s="43">
        <v>11</v>
      </c>
      <c r="B8" s="66" t="s">
        <v>248</v>
      </c>
      <c r="C8" s="43" t="s">
        <v>208</v>
      </c>
      <c r="D8" s="43">
        <v>15</v>
      </c>
      <c r="E8" s="45">
        <v>7.71</v>
      </c>
      <c r="F8" s="45">
        <f t="shared" si="0"/>
        <v>115.65</v>
      </c>
    </row>
    <row r="9" spans="1:1024" x14ac:dyDescent="0.25">
      <c r="A9" s="43">
        <v>12</v>
      </c>
      <c r="B9" s="66" t="s">
        <v>159</v>
      </c>
      <c r="C9" s="43" t="s">
        <v>200</v>
      </c>
      <c r="D9" s="43">
        <v>10</v>
      </c>
      <c r="E9" s="45">
        <v>16.690000000000001</v>
      </c>
      <c r="F9" s="45">
        <f t="shared" si="0"/>
        <v>166.9</v>
      </c>
    </row>
    <row r="10" spans="1:1024" x14ac:dyDescent="0.25">
      <c r="A10" s="43">
        <v>13</v>
      </c>
      <c r="B10" s="66" t="s">
        <v>160</v>
      </c>
      <c r="C10" s="43" t="s">
        <v>200</v>
      </c>
      <c r="D10" s="43">
        <v>25</v>
      </c>
      <c r="E10" s="45">
        <v>9.6199999999999992</v>
      </c>
      <c r="F10" s="45">
        <f t="shared" si="0"/>
        <v>240.49999999999997</v>
      </c>
    </row>
    <row r="11" spans="1:1024" x14ac:dyDescent="0.25">
      <c r="A11" s="43">
        <v>14</v>
      </c>
      <c r="B11" s="66" t="s">
        <v>161</v>
      </c>
      <c r="C11" s="43" t="s">
        <v>208</v>
      </c>
      <c r="D11" s="43">
        <v>150</v>
      </c>
      <c r="E11" s="45">
        <v>2</v>
      </c>
      <c r="F11" s="45">
        <f t="shared" si="0"/>
        <v>300</v>
      </c>
    </row>
    <row r="12" spans="1:1024" x14ac:dyDescent="0.25">
      <c r="A12" s="43">
        <v>15</v>
      </c>
      <c r="B12" s="66" t="s">
        <v>162</v>
      </c>
      <c r="C12" s="43" t="s">
        <v>208</v>
      </c>
      <c r="D12" s="43">
        <v>36</v>
      </c>
      <c r="E12" s="45">
        <v>1.87</v>
      </c>
      <c r="F12" s="45">
        <f t="shared" si="0"/>
        <v>67.320000000000007</v>
      </c>
    </row>
    <row r="13" spans="1:1024" x14ac:dyDescent="0.25">
      <c r="A13" s="43">
        <v>16</v>
      </c>
      <c r="B13" s="66" t="s">
        <v>163</v>
      </c>
      <c r="C13" s="43" t="s">
        <v>200</v>
      </c>
      <c r="D13" s="43">
        <v>40</v>
      </c>
      <c r="E13" s="45">
        <v>15.6</v>
      </c>
      <c r="F13" s="45">
        <f t="shared" si="0"/>
        <v>624</v>
      </c>
    </row>
    <row r="14" spans="1:1024" x14ac:dyDescent="0.25">
      <c r="A14" s="43">
        <v>17</v>
      </c>
      <c r="B14" s="66" t="s">
        <v>164</v>
      </c>
      <c r="C14" s="43" t="s">
        <v>208</v>
      </c>
      <c r="D14" s="43">
        <v>10</v>
      </c>
      <c r="E14" s="45">
        <v>8.36</v>
      </c>
      <c r="F14" s="45">
        <f t="shared" si="0"/>
        <v>83.6</v>
      </c>
    </row>
    <row r="15" spans="1:1024" x14ac:dyDescent="0.25">
      <c r="A15" s="43">
        <v>49</v>
      </c>
      <c r="B15" s="66" t="s">
        <v>255</v>
      </c>
      <c r="C15" s="43" t="s">
        <v>208</v>
      </c>
      <c r="D15" s="43">
        <v>2</v>
      </c>
      <c r="E15" s="45">
        <v>224.23</v>
      </c>
      <c r="F15" s="45">
        <f t="shared" ref="F15" si="1">(ROUND(E15,2)*D15)</f>
        <v>448.46</v>
      </c>
    </row>
    <row r="16" spans="1:1024" x14ac:dyDescent="0.25">
      <c r="A16" s="43">
        <v>18</v>
      </c>
      <c r="B16" s="66" t="s">
        <v>165</v>
      </c>
      <c r="C16" s="43" t="s">
        <v>208</v>
      </c>
      <c r="D16" s="43">
        <v>20</v>
      </c>
      <c r="E16" s="45">
        <v>3.13</v>
      </c>
      <c r="F16" s="45">
        <f t="shared" si="0"/>
        <v>62.599999999999994</v>
      </c>
    </row>
    <row r="17" spans="1:6" x14ac:dyDescent="0.25">
      <c r="A17" s="43">
        <v>19</v>
      </c>
      <c r="B17" s="66" t="s">
        <v>166</v>
      </c>
      <c r="C17" s="43" t="s">
        <v>208</v>
      </c>
      <c r="D17" s="43">
        <v>10</v>
      </c>
      <c r="E17" s="45">
        <v>20.62</v>
      </c>
      <c r="F17" s="45">
        <f t="shared" si="0"/>
        <v>206.20000000000002</v>
      </c>
    </row>
    <row r="18" spans="1:6" x14ac:dyDescent="0.25">
      <c r="A18" s="43">
        <v>20</v>
      </c>
      <c r="B18" s="66" t="s">
        <v>167</v>
      </c>
      <c r="C18" s="43" t="s">
        <v>209</v>
      </c>
      <c r="D18" s="43">
        <v>10</v>
      </c>
      <c r="E18" s="45">
        <v>2.67</v>
      </c>
      <c r="F18" s="45">
        <f t="shared" si="0"/>
        <v>26.7</v>
      </c>
    </row>
    <row r="19" spans="1:6" x14ac:dyDescent="0.25">
      <c r="A19" s="43">
        <v>21</v>
      </c>
      <c r="B19" s="66" t="s">
        <v>168</v>
      </c>
      <c r="C19" s="43" t="s">
        <v>208</v>
      </c>
      <c r="D19" s="43">
        <v>36</v>
      </c>
      <c r="E19" s="45">
        <v>1.66</v>
      </c>
      <c r="F19" s="45">
        <f t="shared" si="0"/>
        <v>59.76</v>
      </c>
    </row>
    <row r="20" spans="1:6" x14ac:dyDescent="0.25">
      <c r="A20" s="43">
        <v>22</v>
      </c>
      <c r="B20" s="66" t="s">
        <v>249</v>
      </c>
      <c r="C20" s="43" t="s">
        <v>209</v>
      </c>
      <c r="D20" s="43">
        <v>10</v>
      </c>
      <c r="E20" s="45">
        <v>5.99</v>
      </c>
      <c r="F20" s="45">
        <f t="shared" si="0"/>
        <v>59.900000000000006</v>
      </c>
    </row>
    <row r="21" spans="1:6" x14ac:dyDescent="0.25">
      <c r="A21" s="43">
        <v>23</v>
      </c>
      <c r="B21" s="66" t="s">
        <v>169</v>
      </c>
      <c r="C21" s="43" t="s">
        <v>208</v>
      </c>
      <c r="D21" s="43">
        <v>48</v>
      </c>
      <c r="E21" s="45">
        <v>3.49</v>
      </c>
      <c r="F21" s="45">
        <f t="shared" si="0"/>
        <v>167.52</v>
      </c>
    </row>
    <row r="22" spans="1:6" x14ac:dyDescent="0.25">
      <c r="A22" s="43">
        <v>24</v>
      </c>
      <c r="B22" s="66" t="s">
        <v>170</v>
      </c>
      <c r="C22" s="43" t="s">
        <v>208</v>
      </c>
      <c r="D22" s="43">
        <v>10</v>
      </c>
      <c r="E22" s="45">
        <v>10.27</v>
      </c>
      <c r="F22" s="45">
        <f t="shared" si="0"/>
        <v>102.69999999999999</v>
      </c>
    </row>
    <row r="23" spans="1:6" x14ac:dyDescent="0.25">
      <c r="A23" s="43">
        <v>25</v>
      </c>
      <c r="B23" s="66" t="s">
        <v>171</v>
      </c>
      <c r="C23" s="43" t="s">
        <v>208</v>
      </c>
      <c r="D23" s="43">
        <v>20</v>
      </c>
      <c r="E23" s="45">
        <v>2.63</v>
      </c>
      <c r="F23" s="45">
        <f t="shared" si="0"/>
        <v>52.599999999999994</v>
      </c>
    </row>
    <row r="24" spans="1:6" x14ac:dyDescent="0.25">
      <c r="A24" s="43">
        <v>26</v>
      </c>
      <c r="B24" s="66" t="s">
        <v>172</v>
      </c>
      <c r="C24" s="43" t="s">
        <v>208</v>
      </c>
      <c r="D24" s="43">
        <v>48</v>
      </c>
      <c r="E24" s="45">
        <v>23.46</v>
      </c>
      <c r="F24" s="45">
        <f t="shared" si="0"/>
        <v>1126.08</v>
      </c>
    </row>
    <row r="25" spans="1:6" x14ac:dyDescent="0.25">
      <c r="A25" s="43">
        <v>27</v>
      </c>
      <c r="B25" s="66" t="s">
        <v>173</v>
      </c>
      <c r="C25" s="43" t="s">
        <v>208</v>
      </c>
      <c r="D25" s="43">
        <v>10</v>
      </c>
      <c r="E25" s="45">
        <v>4.99</v>
      </c>
      <c r="F25" s="45">
        <f t="shared" si="0"/>
        <v>49.900000000000006</v>
      </c>
    </row>
    <row r="26" spans="1:6" x14ac:dyDescent="0.25">
      <c r="A26" s="43">
        <v>28</v>
      </c>
      <c r="B26" s="66" t="s">
        <v>250</v>
      </c>
      <c r="C26" s="43" t="s">
        <v>208</v>
      </c>
      <c r="D26" s="43">
        <v>50</v>
      </c>
      <c r="E26" s="45">
        <v>2.64</v>
      </c>
      <c r="F26" s="45">
        <f t="shared" si="0"/>
        <v>132</v>
      </c>
    </row>
    <row r="27" spans="1:6" x14ac:dyDescent="0.25">
      <c r="A27" s="43">
        <v>29</v>
      </c>
      <c r="B27" s="66" t="s">
        <v>174</v>
      </c>
      <c r="C27" s="43" t="s">
        <v>209</v>
      </c>
      <c r="D27" s="43">
        <v>20</v>
      </c>
      <c r="E27" s="45">
        <v>1.42</v>
      </c>
      <c r="F27" s="45">
        <f t="shared" si="0"/>
        <v>28.4</v>
      </c>
    </row>
    <row r="28" spans="1:6" x14ac:dyDescent="0.25">
      <c r="A28" s="43">
        <v>30</v>
      </c>
      <c r="B28" s="66" t="s">
        <v>175</v>
      </c>
      <c r="C28" s="43" t="s">
        <v>208</v>
      </c>
      <c r="D28" s="43">
        <v>40</v>
      </c>
      <c r="E28" s="45">
        <v>5.0199999999999996</v>
      </c>
      <c r="F28" s="45">
        <f t="shared" si="0"/>
        <v>200.79999999999998</v>
      </c>
    </row>
    <row r="29" spans="1:6" x14ac:dyDescent="0.25">
      <c r="A29" s="43">
        <v>31</v>
      </c>
      <c r="B29" s="66" t="s">
        <v>176</v>
      </c>
      <c r="C29" s="43" t="s">
        <v>208</v>
      </c>
      <c r="D29" s="43">
        <v>50</v>
      </c>
      <c r="E29" s="45">
        <v>3.25</v>
      </c>
      <c r="F29" s="45">
        <f t="shared" si="0"/>
        <v>162.5</v>
      </c>
    </row>
    <row r="30" spans="1:6" ht="38.25" x14ac:dyDescent="0.25">
      <c r="A30" s="43">
        <v>32</v>
      </c>
      <c r="B30" s="66" t="s">
        <v>251</v>
      </c>
      <c r="C30" s="43" t="s">
        <v>207</v>
      </c>
      <c r="D30" s="43">
        <v>70</v>
      </c>
      <c r="E30" s="45">
        <v>102.76</v>
      </c>
      <c r="F30" s="45">
        <f t="shared" si="0"/>
        <v>7193.2000000000007</v>
      </c>
    </row>
    <row r="31" spans="1:6" ht="25.5" x14ac:dyDescent="0.25">
      <c r="A31" s="43">
        <v>33</v>
      </c>
      <c r="B31" s="66" t="s">
        <v>252</v>
      </c>
      <c r="C31" s="43" t="s">
        <v>210</v>
      </c>
      <c r="D31" s="43">
        <v>200</v>
      </c>
      <c r="E31" s="45">
        <v>26.87</v>
      </c>
      <c r="F31" s="45">
        <f t="shared" si="0"/>
        <v>5374</v>
      </c>
    </row>
    <row r="32" spans="1:6" x14ac:dyDescent="0.25">
      <c r="A32" s="43">
        <v>34</v>
      </c>
      <c r="B32" s="66" t="s">
        <v>177</v>
      </c>
      <c r="C32" s="43" t="s">
        <v>208</v>
      </c>
      <c r="D32" s="43">
        <v>10</v>
      </c>
      <c r="E32" s="45">
        <v>5.59</v>
      </c>
      <c r="F32" s="45">
        <f t="shared" si="0"/>
        <v>55.9</v>
      </c>
    </row>
    <row r="33" spans="1:6" x14ac:dyDescent="0.25">
      <c r="A33" s="43">
        <v>35</v>
      </c>
      <c r="B33" s="66" t="s">
        <v>178</v>
      </c>
      <c r="C33" s="43" t="s">
        <v>208</v>
      </c>
      <c r="D33" s="43">
        <v>10</v>
      </c>
      <c r="E33" s="45">
        <v>18.149999999999999</v>
      </c>
      <c r="F33" s="45">
        <f t="shared" si="0"/>
        <v>181.5</v>
      </c>
    </row>
    <row r="34" spans="1:6" x14ac:dyDescent="0.25">
      <c r="A34" s="43">
        <v>36</v>
      </c>
      <c r="B34" s="66" t="s">
        <v>179</v>
      </c>
      <c r="C34" s="43" t="s">
        <v>208</v>
      </c>
      <c r="D34" s="43">
        <v>15</v>
      </c>
      <c r="E34" s="45">
        <v>11.94</v>
      </c>
      <c r="F34" s="45">
        <f t="shared" si="0"/>
        <v>179.1</v>
      </c>
    </row>
    <row r="35" spans="1:6" x14ac:dyDescent="0.25">
      <c r="A35" s="43">
        <v>37</v>
      </c>
      <c r="B35" s="66" t="s">
        <v>180</v>
      </c>
      <c r="C35" s="43" t="s">
        <v>208</v>
      </c>
      <c r="D35" s="43">
        <v>15</v>
      </c>
      <c r="E35" s="45">
        <v>11.54</v>
      </c>
      <c r="F35" s="45">
        <f t="shared" si="0"/>
        <v>173.1</v>
      </c>
    </row>
    <row r="36" spans="1:6" x14ac:dyDescent="0.25">
      <c r="A36" s="43">
        <v>38</v>
      </c>
      <c r="B36" s="66" t="s">
        <v>181</v>
      </c>
      <c r="C36" s="43" t="s">
        <v>208</v>
      </c>
      <c r="D36" s="43">
        <v>15</v>
      </c>
      <c r="E36" s="45">
        <v>7.13</v>
      </c>
      <c r="F36" s="45">
        <f t="shared" si="0"/>
        <v>106.95</v>
      </c>
    </row>
    <row r="37" spans="1:6" x14ac:dyDescent="0.25">
      <c r="A37" s="43">
        <v>39</v>
      </c>
      <c r="B37" s="66" t="s">
        <v>182</v>
      </c>
      <c r="C37" s="43" t="s">
        <v>253</v>
      </c>
      <c r="D37" s="43">
        <v>5</v>
      </c>
      <c r="E37" s="45">
        <v>3.77</v>
      </c>
      <c r="F37" s="45">
        <f t="shared" si="0"/>
        <v>18.850000000000001</v>
      </c>
    </row>
    <row r="38" spans="1:6" x14ac:dyDescent="0.25">
      <c r="A38" s="43">
        <v>40</v>
      </c>
      <c r="B38" s="66" t="s">
        <v>183</v>
      </c>
      <c r="C38" s="43" t="s">
        <v>200</v>
      </c>
      <c r="D38" s="43">
        <v>25</v>
      </c>
      <c r="E38" s="45">
        <v>11.98</v>
      </c>
      <c r="F38" s="45">
        <f t="shared" si="0"/>
        <v>299.5</v>
      </c>
    </row>
    <row r="39" spans="1:6" x14ac:dyDescent="0.25">
      <c r="A39" s="43">
        <v>41</v>
      </c>
      <c r="B39" s="66" t="s">
        <v>184</v>
      </c>
      <c r="C39" s="43" t="s">
        <v>208</v>
      </c>
      <c r="D39" s="43">
        <v>1500</v>
      </c>
      <c r="E39" s="45">
        <v>0.69</v>
      </c>
      <c r="F39" s="45">
        <f t="shared" si="0"/>
        <v>1035</v>
      </c>
    </row>
    <row r="40" spans="1:6" x14ac:dyDescent="0.25">
      <c r="A40" s="43">
        <v>42</v>
      </c>
      <c r="B40" s="66" t="s">
        <v>185</v>
      </c>
      <c r="C40" s="43" t="s">
        <v>208</v>
      </c>
      <c r="D40" s="43">
        <v>1500</v>
      </c>
      <c r="E40" s="45">
        <v>1.1299999999999999</v>
      </c>
      <c r="F40" s="45">
        <f t="shared" si="0"/>
        <v>1694.9999999999998</v>
      </c>
    </row>
    <row r="41" spans="1:6" x14ac:dyDescent="0.25">
      <c r="A41" s="43">
        <v>43</v>
      </c>
      <c r="B41" s="66" t="s">
        <v>186</v>
      </c>
      <c r="C41" s="43" t="s">
        <v>208</v>
      </c>
      <c r="D41" s="43">
        <v>1500</v>
      </c>
      <c r="E41" s="45">
        <v>0.33</v>
      </c>
      <c r="F41" s="45">
        <f t="shared" si="0"/>
        <v>495</v>
      </c>
    </row>
    <row r="42" spans="1:6" x14ac:dyDescent="0.25">
      <c r="A42" s="43">
        <v>44</v>
      </c>
      <c r="B42" s="66" t="s">
        <v>254</v>
      </c>
      <c r="C42" s="43" t="s">
        <v>208</v>
      </c>
      <c r="D42" s="43">
        <v>1200</v>
      </c>
      <c r="E42" s="45">
        <v>1.49</v>
      </c>
      <c r="F42" s="45">
        <f t="shared" si="0"/>
        <v>1788</v>
      </c>
    </row>
    <row r="43" spans="1:6" x14ac:dyDescent="0.25">
      <c r="A43" s="43">
        <v>45</v>
      </c>
      <c r="B43" s="66" t="s">
        <v>187</v>
      </c>
      <c r="C43" s="43" t="s">
        <v>208</v>
      </c>
      <c r="D43" s="43">
        <v>1500</v>
      </c>
      <c r="E43" s="45">
        <v>1.25</v>
      </c>
      <c r="F43" s="45">
        <f t="shared" si="0"/>
        <v>1875</v>
      </c>
    </row>
    <row r="44" spans="1:6" x14ac:dyDescent="0.25">
      <c r="A44" s="43">
        <v>46</v>
      </c>
      <c r="B44" s="66" t="s">
        <v>188</v>
      </c>
      <c r="C44" s="43" t="s">
        <v>208</v>
      </c>
      <c r="D44" s="43">
        <v>35</v>
      </c>
      <c r="E44" s="45">
        <v>21.52</v>
      </c>
      <c r="F44" s="45">
        <f t="shared" si="0"/>
        <v>753.19999999999993</v>
      </c>
    </row>
    <row r="45" spans="1:6" x14ac:dyDescent="0.25">
      <c r="A45" s="43">
        <v>47</v>
      </c>
      <c r="B45" s="66" t="s">
        <v>189</v>
      </c>
      <c r="C45" s="43" t="s">
        <v>208</v>
      </c>
      <c r="D45" s="43">
        <v>10</v>
      </c>
      <c r="E45" s="45">
        <v>3.62</v>
      </c>
      <c r="F45" s="45">
        <f t="shared" si="0"/>
        <v>36.200000000000003</v>
      </c>
    </row>
    <row r="46" spans="1:6" x14ac:dyDescent="0.25">
      <c r="A46" s="43">
        <v>48</v>
      </c>
      <c r="B46" s="66" t="s">
        <v>190</v>
      </c>
      <c r="C46" s="43" t="s">
        <v>208</v>
      </c>
      <c r="D46" s="43">
        <v>2</v>
      </c>
      <c r="E46" s="45">
        <v>29.91</v>
      </c>
      <c r="F46" s="45">
        <f t="shared" si="0"/>
        <v>59.82</v>
      </c>
    </row>
    <row r="47" spans="1:6" ht="15.75" customHeight="1" x14ac:dyDescent="0.25">
      <c r="A47" s="47"/>
      <c r="B47" s="47"/>
      <c r="C47" s="100" t="s">
        <v>191</v>
      </c>
      <c r="D47" s="100"/>
      <c r="E47" s="100"/>
      <c r="F47" s="48">
        <f>SUM(F3:F46)</f>
        <v>27277.91</v>
      </c>
    </row>
    <row r="48" spans="1:6" ht="15" customHeight="1" x14ac:dyDescent="0.25">
      <c r="C48" s="99" t="s">
        <v>192</v>
      </c>
      <c r="D48" s="99"/>
      <c r="E48" s="49">
        <v>0.05</v>
      </c>
      <c r="F48" s="50">
        <f>TRUNC((F47)*E48,2)</f>
        <v>1363.89</v>
      </c>
    </row>
    <row r="49" spans="3:6" ht="15" customHeight="1" x14ac:dyDescent="0.25">
      <c r="C49" s="99" t="s">
        <v>193</v>
      </c>
      <c r="D49" s="99"/>
      <c r="E49" s="49">
        <v>0.06</v>
      </c>
      <c r="F49" s="50">
        <f>TRUNC((F47+F48)*E49,2)</f>
        <v>1718.5</v>
      </c>
    </row>
    <row r="50" spans="3:6" ht="15" customHeight="1" x14ac:dyDescent="0.25">
      <c r="C50" s="99" t="s">
        <v>194</v>
      </c>
      <c r="D50" s="99"/>
      <c r="E50" s="49">
        <v>8.6499999999999994E-2</v>
      </c>
      <c r="F50" s="50">
        <f>TRUNC((F47+F48+F49)*E50/(1-E50),2)</f>
        <v>2874.83</v>
      </c>
    </row>
    <row r="51" spans="3:6" ht="15" customHeight="1" x14ac:dyDescent="0.25">
      <c r="C51" s="100" t="s">
        <v>195</v>
      </c>
      <c r="D51" s="100"/>
      <c r="E51" s="100"/>
      <c r="F51" s="48">
        <f>SUM(F47:F50)</f>
        <v>33235.129999999997</v>
      </c>
    </row>
  </sheetData>
  <mergeCells count="6">
    <mergeCell ref="C49:D49"/>
    <mergeCell ref="C50:D50"/>
    <mergeCell ref="C51:E51"/>
    <mergeCell ref="A1:F1"/>
    <mergeCell ref="C47:E47"/>
    <mergeCell ref="C48:D48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G22" sqref="G22"/>
    </sheetView>
  </sheetViews>
  <sheetFormatPr defaultColWidth="9.140625" defaultRowHeight="15" x14ac:dyDescent="0.25"/>
  <cols>
    <col min="1" max="1" width="9.140625" style="38"/>
    <col min="2" max="2" width="86.85546875" style="38" customWidth="1"/>
    <col min="3" max="5" width="13.28515625" style="38" customWidth="1"/>
    <col min="6" max="6" width="15.5703125" style="38" customWidth="1"/>
    <col min="7" max="13" width="9.140625" style="39"/>
    <col min="14" max="1023" width="9.140625" style="38"/>
    <col min="1024" max="1024" width="11.5703125" style="32" customWidth="1"/>
  </cols>
  <sheetData>
    <row r="1" spans="1:1024" s="41" customFormat="1" ht="71.25" customHeight="1" x14ac:dyDescent="0.25">
      <c r="A1" s="101" t="s">
        <v>211</v>
      </c>
      <c r="B1" s="102"/>
      <c r="C1" s="102"/>
      <c r="D1" s="102"/>
      <c r="E1" s="102"/>
      <c r="F1" s="103"/>
      <c r="G1" s="40"/>
      <c r="H1" s="40"/>
      <c r="I1" s="40"/>
      <c r="J1" s="40"/>
      <c r="K1" s="40"/>
      <c r="L1" s="40"/>
      <c r="M1" s="40"/>
      <c r="AMJ1" s="32"/>
    </row>
    <row r="2" spans="1:1024" ht="25.5" x14ac:dyDescent="0.25">
      <c r="A2" s="42" t="s">
        <v>152</v>
      </c>
      <c r="B2" s="42" t="s">
        <v>153</v>
      </c>
      <c r="C2" s="42" t="s">
        <v>154</v>
      </c>
      <c r="D2" s="42" t="s">
        <v>155</v>
      </c>
      <c r="E2" s="42" t="s">
        <v>156</v>
      </c>
      <c r="F2" s="42" t="s">
        <v>157</v>
      </c>
    </row>
    <row r="3" spans="1:1024" x14ac:dyDescent="0.25">
      <c r="A3" s="43">
        <v>50</v>
      </c>
      <c r="B3" s="46" t="s">
        <v>197</v>
      </c>
      <c r="C3" s="43" t="s">
        <v>253</v>
      </c>
      <c r="D3" s="43">
        <v>5000</v>
      </c>
      <c r="E3" s="45">
        <v>1.8</v>
      </c>
      <c r="F3" s="45">
        <f t="shared" ref="F3:F9" si="0">(ROUND(E3,2)*D3)</f>
        <v>9000</v>
      </c>
    </row>
    <row r="4" spans="1:1024" x14ac:dyDescent="0.25">
      <c r="A4" s="43">
        <v>51</v>
      </c>
      <c r="B4" s="46" t="s">
        <v>198</v>
      </c>
      <c r="C4" s="43" t="s">
        <v>253</v>
      </c>
      <c r="D4" s="43">
        <v>100</v>
      </c>
      <c r="E4" s="45">
        <v>1.0900000000000001</v>
      </c>
      <c r="F4" s="45">
        <f t="shared" si="0"/>
        <v>109.00000000000001</v>
      </c>
    </row>
    <row r="5" spans="1:1024" x14ac:dyDescent="0.25">
      <c r="A5" s="43">
        <v>52</v>
      </c>
      <c r="B5" s="46" t="s">
        <v>199</v>
      </c>
      <c r="C5" s="43" t="s">
        <v>200</v>
      </c>
      <c r="D5" s="43">
        <v>100</v>
      </c>
      <c r="E5" s="45">
        <v>20.6</v>
      </c>
      <c r="F5" s="45">
        <f t="shared" si="0"/>
        <v>2060</v>
      </c>
    </row>
    <row r="6" spans="1:1024" x14ac:dyDescent="0.25">
      <c r="A6" s="43">
        <v>53</v>
      </c>
      <c r="B6" s="46" t="s">
        <v>201</v>
      </c>
      <c r="C6" s="43" t="s">
        <v>253</v>
      </c>
      <c r="D6" s="43">
        <v>100</v>
      </c>
      <c r="E6" s="45">
        <v>19.77</v>
      </c>
      <c r="F6" s="45">
        <f t="shared" si="0"/>
        <v>1977</v>
      </c>
    </row>
    <row r="7" spans="1:1024" x14ac:dyDescent="0.25">
      <c r="A7" s="43">
        <v>54</v>
      </c>
      <c r="B7" s="46" t="s">
        <v>202</v>
      </c>
      <c r="C7" s="43" t="s">
        <v>253</v>
      </c>
      <c r="D7" s="43">
        <v>5</v>
      </c>
      <c r="E7" s="45">
        <v>9.52</v>
      </c>
      <c r="F7" s="45">
        <f t="shared" si="0"/>
        <v>47.599999999999994</v>
      </c>
    </row>
    <row r="8" spans="1:1024" x14ac:dyDescent="0.25">
      <c r="A8" s="43">
        <v>55</v>
      </c>
      <c r="B8" s="46" t="s">
        <v>203</v>
      </c>
      <c r="C8" s="43" t="s">
        <v>253</v>
      </c>
      <c r="D8" s="43">
        <v>5</v>
      </c>
      <c r="E8" s="45">
        <v>12.92</v>
      </c>
      <c r="F8" s="45">
        <f t="shared" si="0"/>
        <v>64.599999999999994</v>
      </c>
    </row>
    <row r="9" spans="1:1024" x14ac:dyDescent="0.25">
      <c r="A9" s="43">
        <v>56</v>
      </c>
      <c r="B9" s="46" t="s">
        <v>204</v>
      </c>
      <c r="C9" s="43" t="s">
        <v>205</v>
      </c>
      <c r="D9" s="43">
        <v>10</v>
      </c>
      <c r="E9" s="45">
        <v>4.95</v>
      </c>
      <c r="F9" s="45">
        <f t="shared" si="0"/>
        <v>49.5</v>
      </c>
    </row>
    <row r="10" spans="1:1024" ht="15.75" customHeight="1" x14ac:dyDescent="0.25">
      <c r="A10" s="47"/>
      <c r="B10" s="47"/>
      <c r="C10" s="100" t="s">
        <v>191</v>
      </c>
      <c r="D10" s="100"/>
      <c r="E10" s="100"/>
      <c r="F10" s="48">
        <f>SUM(F3:F9)</f>
        <v>13307.7</v>
      </c>
    </row>
    <row r="11" spans="1:1024" ht="15" customHeight="1" x14ac:dyDescent="0.25">
      <c r="C11" s="99" t="s">
        <v>192</v>
      </c>
      <c r="D11" s="99"/>
      <c r="E11" s="49">
        <v>0.05</v>
      </c>
      <c r="F11" s="50">
        <f>TRUNC((F10)*E11,2)</f>
        <v>665.38</v>
      </c>
    </row>
    <row r="12" spans="1:1024" ht="15" customHeight="1" x14ac:dyDescent="0.25">
      <c r="C12" s="99" t="s">
        <v>193</v>
      </c>
      <c r="D12" s="99"/>
      <c r="E12" s="49">
        <v>0.06</v>
      </c>
      <c r="F12" s="50">
        <f>TRUNC((F10+F11)*E12,2)</f>
        <v>838.38</v>
      </c>
    </row>
    <row r="13" spans="1:1024" ht="15" customHeight="1" x14ac:dyDescent="0.25">
      <c r="C13" s="99" t="s">
        <v>194</v>
      </c>
      <c r="D13" s="99"/>
      <c r="E13" s="49">
        <v>8.6499999999999994E-2</v>
      </c>
      <c r="F13" s="50">
        <f>TRUNC((F10+F11+F12)*E13/(1-E13),2)</f>
        <v>1402.5</v>
      </c>
    </row>
    <row r="14" spans="1:1024" ht="15" customHeight="1" x14ac:dyDescent="0.25">
      <c r="C14" s="100" t="s">
        <v>195</v>
      </c>
      <c r="D14" s="100"/>
      <c r="E14" s="100"/>
      <c r="F14" s="48">
        <f>SUM(F10:F13)</f>
        <v>16213.96</v>
      </c>
    </row>
  </sheetData>
  <mergeCells count="6">
    <mergeCell ref="C12:D12"/>
    <mergeCell ref="C13:D13"/>
    <mergeCell ref="C14:E14"/>
    <mergeCell ref="A1:F1"/>
    <mergeCell ref="C10:E10"/>
    <mergeCell ref="C11:D11"/>
  </mergeCells>
  <pageMargins left="0.78749999999999998" right="0.78749999999999998" top="0.78749999999999998" bottom="0.78749999999999998" header="0.51180555555555496" footer="0.51180555555555496"/>
  <pageSetup paperSize="9" scale="85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5"/>
  <sheetViews>
    <sheetView tabSelected="1" view="pageBreakPreview" topLeftCell="A43" zoomScaleNormal="100" workbookViewId="0">
      <selection activeCell="G65" sqref="G65"/>
    </sheetView>
  </sheetViews>
  <sheetFormatPr defaultColWidth="9.140625" defaultRowHeight="15" x14ac:dyDescent="0.25"/>
  <cols>
    <col min="1" max="1" width="13.140625" style="51" customWidth="1"/>
    <col min="2" max="2" width="44.140625" style="52" customWidth="1"/>
    <col min="3" max="3" width="13.140625" style="52" customWidth="1"/>
    <col min="4" max="5" width="13.140625" style="51" customWidth="1"/>
    <col min="6" max="6" width="14.85546875" style="51" customWidth="1"/>
    <col min="7" max="7" width="14.5703125" style="51" customWidth="1"/>
    <col min="8" max="1024" width="9.140625" style="51"/>
  </cols>
  <sheetData>
    <row r="1" spans="1:7" x14ac:dyDescent="0.25">
      <c r="A1" s="105"/>
      <c r="B1" s="105"/>
      <c r="C1" s="105"/>
      <c r="D1" s="105"/>
      <c r="E1" s="105"/>
      <c r="F1" s="105"/>
      <c r="G1" s="105"/>
    </row>
    <row r="2" spans="1:7" x14ac:dyDescent="0.25">
      <c r="A2" s="105"/>
      <c r="B2" s="105"/>
      <c r="C2" s="105"/>
      <c r="D2" s="105"/>
      <c r="E2" s="105"/>
      <c r="F2" s="105"/>
      <c r="G2" s="105"/>
    </row>
    <row r="3" spans="1:7" x14ac:dyDescent="0.25">
      <c r="A3" s="105"/>
      <c r="B3" s="105"/>
      <c r="C3" s="105"/>
      <c r="D3" s="105"/>
      <c r="E3" s="105"/>
      <c r="F3" s="105"/>
      <c r="G3" s="105"/>
    </row>
    <row r="4" spans="1:7" x14ac:dyDescent="0.25">
      <c r="A4" s="105"/>
      <c r="B4" s="105"/>
      <c r="C4" s="105"/>
      <c r="D4" s="105"/>
      <c r="E4" s="105"/>
      <c r="F4" s="105"/>
      <c r="G4" s="105"/>
    </row>
    <row r="5" spans="1:7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6"/>
      <c r="B6" s="106"/>
      <c r="C6" s="106"/>
      <c r="D6" s="106"/>
      <c r="E6" s="106"/>
      <c r="F6" s="106"/>
      <c r="G6" s="106"/>
    </row>
    <row r="7" spans="1:7" x14ac:dyDescent="0.25">
      <c r="A7" s="106"/>
      <c r="B7" s="106"/>
      <c r="C7" s="106"/>
      <c r="D7" s="106"/>
      <c r="E7" s="106"/>
      <c r="F7" s="106"/>
      <c r="G7" s="106"/>
    </row>
    <row r="8" spans="1:7" x14ac:dyDescent="0.25">
      <c r="A8" s="106"/>
      <c r="B8" s="106"/>
      <c r="C8" s="106"/>
      <c r="D8" s="106"/>
      <c r="E8" s="106"/>
      <c r="F8" s="106"/>
      <c r="G8" s="106"/>
    </row>
    <row r="9" spans="1:7" x14ac:dyDescent="0.25">
      <c r="A9" s="107" t="s">
        <v>212</v>
      </c>
      <c r="B9" s="107"/>
      <c r="C9" s="107"/>
      <c r="D9" s="107"/>
      <c r="E9" s="107"/>
      <c r="F9" s="107">
        <f ca="1">TODAY()</f>
        <v>44725</v>
      </c>
      <c r="G9" s="107"/>
    </row>
    <row r="11" spans="1:7" x14ac:dyDescent="0.25">
      <c r="A11" s="108" t="s">
        <v>213</v>
      </c>
      <c r="B11" s="108"/>
      <c r="C11" s="108"/>
      <c r="D11" s="108"/>
      <c r="E11" s="108"/>
      <c r="F11" s="108"/>
      <c r="G11" s="108"/>
    </row>
    <row r="12" spans="1:7" x14ac:dyDescent="0.25">
      <c r="A12" s="53"/>
      <c r="B12" s="54"/>
      <c r="C12" s="54"/>
      <c r="D12" s="54"/>
      <c r="E12" s="54"/>
      <c r="F12" s="54"/>
      <c r="G12" s="55"/>
    </row>
    <row r="13" spans="1:7" ht="28.5" x14ac:dyDescent="0.25">
      <c r="A13" s="67" t="s">
        <v>214</v>
      </c>
      <c r="B13" s="109" t="s">
        <v>215</v>
      </c>
      <c r="C13" s="109"/>
      <c r="D13" s="67" t="s">
        <v>216</v>
      </c>
      <c r="E13" s="67" t="s">
        <v>217</v>
      </c>
      <c r="F13" s="67" t="s">
        <v>218</v>
      </c>
      <c r="G13" s="67" t="s">
        <v>219</v>
      </c>
    </row>
    <row r="14" spans="1:7" x14ac:dyDescent="0.25">
      <c r="A14" s="68">
        <v>1</v>
      </c>
      <c r="B14" s="110" t="str">
        <f>serv!A13</f>
        <v>Servente de Limpeza</v>
      </c>
      <c r="C14" s="110"/>
      <c r="D14" s="69">
        <f>serv!D157</f>
        <v>3240.58</v>
      </c>
      <c r="E14" s="70">
        <v>52</v>
      </c>
      <c r="F14" s="58">
        <f>TRUNC(D14*E14,2)</f>
        <v>168510.16</v>
      </c>
      <c r="G14" s="71">
        <f>F14*12</f>
        <v>2022121.92</v>
      </c>
    </row>
    <row r="15" spans="1:7" x14ac:dyDescent="0.25">
      <c r="A15" s="68">
        <v>2</v>
      </c>
      <c r="B15" s="110" t="str">
        <f>jard!A13</f>
        <v>Jardineiro</v>
      </c>
      <c r="C15" s="110"/>
      <c r="D15" s="72">
        <f>jard!D157</f>
        <v>3386.51</v>
      </c>
      <c r="E15" s="70">
        <v>1</v>
      </c>
      <c r="F15" s="58">
        <f>TRUNC(D15*E15,2)</f>
        <v>3386.51</v>
      </c>
      <c r="G15" s="71">
        <f>F15*12</f>
        <v>40638.120000000003</v>
      </c>
    </row>
    <row r="16" spans="1:7" x14ac:dyDescent="0.25">
      <c r="A16" s="68">
        <v>3</v>
      </c>
      <c r="B16" s="110" t="str">
        <f>auxjard!A13</f>
        <v>Auxiliar de Jardinagem</v>
      </c>
      <c r="C16" s="110"/>
      <c r="D16" s="72">
        <f>auxjard!D157</f>
        <v>3262.34</v>
      </c>
      <c r="E16" s="70">
        <v>4</v>
      </c>
      <c r="F16" s="58">
        <f>TRUNC(D16*E16,2)</f>
        <v>13049.36</v>
      </c>
      <c r="G16" s="71">
        <f>F16*12</f>
        <v>156592.32000000001</v>
      </c>
    </row>
    <row r="17" spans="1:7" x14ac:dyDescent="0.25">
      <c r="A17" s="68">
        <v>4</v>
      </c>
      <c r="B17" s="110" t="str">
        <f>superv!A13</f>
        <v>Supervisor</v>
      </c>
      <c r="C17" s="110"/>
      <c r="D17" s="72">
        <f>superv!D157</f>
        <v>4160.42</v>
      </c>
      <c r="E17" s="70">
        <v>2</v>
      </c>
      <c r="F17" s="58">
        <f>TRUNC(D17*E17,2)</f>
        <v>8320.84</v>
      </c>
      <c r="G17" s="71">
        <f>F17*12</f>
        <v>99850.08</v>
      </c>
    </row>
    <row r="18" spans="1:7" x14ac:dyDescent="0.25">
      <c r="A18" s="68">
        <v>5</v>
      </c>
      <c r="B18" s="110" t="str">
        <f>cabturm!A13</f>
        <v>Cabo de Turma</v>
      </c>
      <c r="C18" s="110"/>
      <c r="D18" s="72">
        <f>cabturm!D157</f>
        <v>3407.67</v>
      </c>
      <c r="E18" s="70">
        <v>1</v>
      </c>
      <c r="F18" s="58">
        <f>TRUNC(D18*E18,2)</f>
        <v>3407.67</v>
      </c>
      <c r="G18" s="71">
        <f>F18*12</f>
        <v>40892.04</v>
      </c>
    </row>
    <row r="19" spans="1:7" x14ac:dyDescent="0.25">
      <c r="A19" s="111" t="s">
        <v>220</v>
      </c>
      <c r="B19" s="111"/>
      <c r="C19" s="111"/>
      <c r="D19" s="111"/>
      <c r="E19" s="73">
        <f>SUM(E14:E18)</f>
        <v>60</v>
      </c>
      <c r="F19" s="59">
        <f>SUM(F14:F18)</f>
        <v>196674.54000000004</v>
      </c>
      <c r="G19" s="59">
        <f>SUM(G14:G18)</f>
        <v>2360094.48</v>
      </c>
    </row>
    <row r="21" spans="1:7" x14ac:dyDescent="0.25">
      <c r="A21" s="108" t="s">
        <v>221</v>
      </c>
      <c r="B21" s="108"/>
      <c r="C21" s="108"/>
      <c r="D21" s="108"/>
      <c r="E21" s="108"/>
      <c r="F21" s="108"/>
      <c r="G21" s="108"/>
    </row>
    <row r="23" spans="1:7" ht="28.5" x14ac:dyDescent="0.25">
      <c r="A23" s="67" t="s">
        <v>214</v>
      </c>
      <c r="B23" s="109" t="s">
        <v>215</v>
      </c>
      <c r="C23" s="109"/>
      <c r="D23" s="67" t="s">
        <v>216</v>
      </c>
      <c r="E23" s="67" t="s">
        <v>217</v>
      </c>
      <c r="F23" s="67" t="s">
        <v>218</v>
      </c>
      <c r="G23" s="67" t="s">
        <v>222</v>
      </c>
    </row>
    <row r="24" spans="1:7" ht="30" customHeight="1" x14ac:dyDescent="0.25">
      <c r="A24" s="68">
        <v>6</v>
      </c>
      <c r="B24" s="110" t="str">
        <f>servextra!A13</f>
        <v>Servente de Limpeza -  acréscimo nos meses de julho, agosto, setembro e outubro em ano eleitoral</v>
      </c>
      <c r="C24" s="110"/>
      <c r="D24" s="69">
        <f>servextra!D157</f>
        <v>3178.02</v>
      </c>
      <c r="E24" s="70">
        <v>10</v>
      </c>
      <c r="F24" s="58">
        <f>TRUNC(D24*E24,2)</f>
        <v>31780.2</v>
      </c>
      <c r="G24" s="71">
        <f>F24*4</f>
        <v>127120.8</v>
      </c>
    </row>
    <row r="25" spans="1:7" x14ac:dyDescent="0.25">
      <c r="A25" s="111" t="s">
        <v>223</v>
      </c>
      <c r="B25" s="111"/>
      <c r="C25" s="111"/>
      <c r="D25" s="111"/>
      <c r="E25" s="73">
        <f>SUM(E24)</f>
        <v>10</v>
      </c>
      <c r="F25" s="59">
        <f>SUM(F24)</f>
        <v>31780.2</v>
      </c>
      <c r="G25" s="59">
        <f>SUM(G24)</f>
        <v>127120.8</v>
      </c>
    </row>
    <row r="27" spans="1:7" x14ac:dyDescent="0.25">
      <c r="A27" s="108" t="s">
        <v>224</v>
      </c>
      <c r="B27" s="108"/>
      <c r="C27" s="108"/>
      <c r="D27" s="108"/>
      <c r="E27" s="108"/>
      <c r="F27" s="108"/>
      <c r="G27" s="108"/>
    </row>
    <row r="29" spans="1:7" ht="25.35" customHeight="1" x14ac:dyDescent="0.25">
      <c r="A29" s="64" t="s">
        <v>214</v>
      </c>
      <c r="B29" s="109" t="s">
        <v>215</v>
      </c>
      <c r="C29" s="109"/>
      <c r="D29" s="109"/>
      <c r="E29" s="67" t="s">
        <v>225</v>
      </c>
      <c r="F29" s="64" t="s">
        <v>226</v>
      </c>
      <c r="G29" s="64" t="s">
        <v>227</v>
      </c>
    </row>
    <row r="30" spans="1:7" ht="13.9" customHeight="1" x14ac:dyDescent="0.25">
      <c r="A30" s="68">
        <v>7</v>
      </c>
      <c r="B30" s="110" t="s">
        <v>14</v>
      </c>
      <c r="C30" s="110"/>
      <c r="D30" s="110"/>
      <c r="E30" s="74">
        <f>heserv_agoset!E30</f>
        <v>99099.199999999983</v>
      </c>
      <c r="F30" s="74">
        <f>heserv_out!E30</f>
        <v>49549.59</v>
      </c>
      <c r="G30" s="74">
        <f>SUM(E30:F30)</f>
        <v>148648.78999999998</v>
      </c>
    </row>
    <row r="31" spans="1:7" ht="13.9" customHeight="1" x14ac:dyDescent="0.25">
      <c r="A31" s="68">
        <v>8</v>
      </c>
      <c r="B31" s="110" t="s">
        <v>116</v>
      </c>
      <c r="C31" s="110"/>
      <c r="D31" s="110"/>
      <c r="E31" s="74">
        <f>hesuperv_agoset!E30</f>
        <v>5025.5700000000006</v>
      </c>
      <c r="F31" s="74">
        <f>hesuperv_out!E30</f>
        <v>2512.7700000000004</v>
      </c>
      <c r="G31" s="74">
        <f>SUM(E31:F31)</f>
        <v>7538.3400000000011</v>
      </c>
    </row>
    <row r="32" spans="1:7" ht="13.9" customHeight="1" x14ac:dyDescent="0.25">
      <c r="A32" s="68">
        <v>9</v>
      </c>
      <c r="B32" s="110" t="s">
        <v>118</v>
      </c>
      <c r="C32" s="110"/>
      <c r="D32" s="110"/>
      <c r="E32" s="74">
        <f>hecabturm_agoset!E30</f>
        <v>2019.97</v>
      </c>
      <c r="F32" s="74">
        <f>hecabturm_out!E30</f>
        <v>1009.96</v>
      </c>
      <c r="G32" s="74">
        <f>SUM(E32:F32)</f>
        <v>3029.9300000000003</v>
      </c>
    </row>
    <row r="33" spans="1:7" x14ac:dyDescent="0.25">
      <c r="A33" s="111" t="s">
        <v>228</v>
      </c>
      <c r="B33" s="111"/>
      <c r="C33" s="111"/>
      <c r="D33" s="111"/>
      <c r="E33" s="111"/>
      <c r="F33" s="111"/>
      <c r="G33" s="57">
        <f>SUM(G30:G32)</f>
        <v>159217.05999999997</v>
      </c>
    </row>
    <row r="35" spans="1:7" x14ac:dyDescent="0.25">
      <c r="A35" s="108" t="s">
        <v>229</v>
      </c>
      <c r="B35" s="108"/>
      <c r="C35" s="108"/>
      <c r="D35" s="108"/>
      <c r="E35" s="108"/>
      <c r="F35" s="108"/>
      <c r="G35" s="108"/>
    </row>
    <row r="37" spans="1:7" ht="13.9" customHeight="1" x14ac:dyDescent="0.25">
      <c r="A37" s="64" t="s">
        <v>214</v>
      </c>
      <c r="B37" s="109" t="s">
        <v>215</v>
      </c>
      <c r="C37" s="109"/>
      <c r="D37" s="109"/>
      <c r="E37" s="109"/>
      <c r="F37" s="64" t="s">
        <v>218</v>
      </c>
      <c r="G37" s="64" t="s">
        <v>227</v>
      </c>
    </row>
    <row r="38" spans="1:7" ht="13.9" customHeight="1" x14ac:dyDescent="0.25">
      <c r="A38" s="68">
        <v>10</v>
      </c>
      <c r="B38" s="110" t="s">
        <v>14</v>
      </c>
      <c r="C38" s="110"/>
      <c r="D38" s="110"/>
      <c r="E38" s="110"/>
      <c r="F38" s="58">
        <f>matservente1!F51</f>
        <v>25111.749999999996</v>
      </c>
      <c r="G38" s="58">
        <f>F38*12</f>
        <v>301340.99999999994</v>
      </c>
    </row>
    <row r="39" spans="1:7" ht="13.9" customHeight="1" x14ac:dyDescent="0.25">
      <c r="A39" s="68">
        <v>11</v>
      </c>
      <c r="B39" s="110" t="s">
        <v>230</v>
      </c>
      <c r="C39" s="110"/>
      <c r="D39" s="110"/>
      <c r="E39" s="110"/>
      <c r="F39" s="58">
        <f>matjard1!F14</f>
        <v>12151.25</v>
      </c>
      <c r="G39" s="58">
        <f>F39*12</f>
        <v>145815</v>
      </c>
    </row>
    <row r="40" spans="1:7" x14ac:dyDescent="0.25">
      <c r="A40" s="111" t="s">
        <v>231</v>
      </c>
      <c r="B40" s="111"/>
      <c r="C40" s="111"/>
      <c r="D40" s="111"/>
      <c r="E40" s="111"/>
      <c r="F40" s="111"/>
      <c r="G40" s="57">
        <f>SUM(G38:G39)</f>
        <v>447155.99999999994</v>
      </c>
    </row>
    <row r="42" spans="1:7" x14ac:dyDescent="0.25">
      <c r="A42" s="108" t="s">
        <v>232</v>
      </c>
      <c r="B42" s="108"/>
      <c r="C42" s="108"/>
      <c r="D42" s="108"/>
      <c r="E42" s="108"/>
      <c r="F42" s="108"/>
      <c r="G42" s="108"/>
    </row>
    <row r="44" spans="1:7" ht="85.5" x14ac:dyDescent="0.25">
      <c r="A44" s="67" t="s">
        <v>214</v>
      </c>
      <c r="B44" s="67" t="s">
        <v>215</v>
      </c>
      <c r="C44" s="67" t="s">
        <v>233</v>
      </c>
      <c r="D44" s="67" t="s">
        <v>234</v>
      </c>
      <c r="E44" s="67" t="s">
        <v>235</v>
      </c>
      <c r="F44" s="67" t="s">
        <v>222</v>
      </c>
      <c r="G44" s="67" t="s">
        <v>219</v>
      </c>
    </row>
    <row r="45" spans="1:7" x14ac:dyDescent="0.25">
      <c r="A45" s="68">
        <v>12</v>
      </c>
      <c r="B45" s="65" t="s">
        <v>14</v>
      </c>
      <c r="C45" s="69">
        <f>matservente1!F51</f>
        <v>25111.749999999996</v>
      </c>
      <c r="D45" s="69">
        <f>C45*8</f>
        <v>200893.99999999997</v>
      </c>
      <c r="E45" s="72">
        <f>matservente2!F51</f>
        <v>33235.129999999997</v>
      </c>
      <c r="F45" s="72">
        <f>E45*4</f>
        <v>132940.51999999999</v>
      </c>
      <c r="G45" s="75">
        <f>D45+F45</f>
        <v>333834.51999999996</v>
      </c>
    </row>
    <row r="46" spans="1:7" x14ac:dyDescent="0.25">
      <c r="A46" s="68">
        <v>13</v>
      </c>
      <c r="B46" s="65" t="s">
        <v>230</v>
      </c>
      <c r="C46" s="69">
        <f>matjard1!F14</f>
        <v>12151.25</v>
      </c>
      <c r="D46" s="69">
        <f>C46*8</f>
        <v>97210</v>
      </c>
      <c r="E46" s="72">
        <f>matjard2!F14</f>
        <v>16213.96</v>
      </c>
      <c r="F46" s="72">
        <f>E46*4</f>
        <v>64855.839999999997</v>
      </c>
      <c r="G46" s="75">
        <f>D46+F46</f>
        <v>162065.84</v>
      </c>
    </row>
    <row r="47" spans="1:7" x14ac:dyDescent="0.25">
      <c r="A47" s="111" t="s">
        <v>236</v>
      </c>
      <c r="B47" s="111"/>
      <c r="C47" s="111"/>
      <c r="D47" s="111"/>
      <c r="E47" s="111"/>
      <c r="F47" s="111"/>
      <c r="G47" s="57">
        <f>SUM(G45:G46)</f>
        <v>495900.36</v>
      </c>
    </row>
    <row r="49" spans="1:7" x14ac:dyDescent="0.25">
      <c r="A49" s="107" t="s">
        <v>237</v>
      </c>
      <c r="B49" s="107"/>
      <c r="C49" s="107"/>
      <c r="D49" s="107"/>
      <c r="E49" s="107"/>
      <c r="F49" s="107"/>
      <c r="G49" s="107"/>
    </row>
    <row r="51" spans="1:7" x14ac:dyDescent="0.25">
      <c r="A51" s="108" t="s">
        <v>238</v>
      </c>
      <c r="B51" s="108"/>
      <c r="C51" s="108"/>
      <c r="D51" s="108"/>
      <c r="E51" s="108"/>
      <c r="F51" s="108"/>
      <c r="G51" s="108"/>
    </row>
    <row r="53" spans="1:7" ht="13.9" customHeight="1" x14ac:dyDescent="0.25">
      <c r="A53" s="56" t="s">
        <v>2</v>
      </c>
      <c r="B53" s="110" t="s">
        <v>239</v>
      </c>
      <c r="C53" s="110"/>
      <c r="D53" s="110"/>
      <c r="E53" s="110"/>
      <c r="F53" s="110"/>
      <c r="G53" s="58">
        <f>G19</f>
        <v>2360094.48</v>
      </c>
    </row>
    <row r="54" spans="1:7" ht="13.9" customHeight="1" x14ac:dyDescent="0.25">
      <c r="A54" s="56" t="s">
        <v>8</v>
      </c>
      <c r="B54" s="110" t="s">
        <v>94</v>
      </c>
      <c r="C54" s="110"/>
      <c r="D54" s="110"/>
      <c r="E54" s="110"/>
      <c r="F54" s="110"/>
      <c r="G54" s="58">
        <f>G40</f>
        <v>447155.99999999994</v>
      </c>
    </row>
    <row r="55" spans="1:7" x14ac:dyDescent="0.25">
      <c r="A55" s="111" t="s">
        <v>35</v>
      </c>
      <c r="B55" s="111"/>
      <c r="C55" s="111"/>
      <c r="D55" s="111"/>
      <c r="E55" s="111"/>
      <c r="F55" s="111"/>
      <c r="G55" s="59">
        <f>SUM(G53:G54)</f>
        <v>2807250.48</v>
      </c>
    </row>
    <row r="57" spans="1:7" x14ac:dyDescent="0.25">
      <c r="A57" s="108" t="s">
        <v>241</v>
      </c>
      <c r="B57" s="108"/>
      <c r="C57" s="108"/>
      <c r="D57" s="108"/>
      <c r="E57" s="108"/>
      <c r="F57" s="108"/>
      <c r="G57" s="108"/>
    </row>
    <row r="59" spans="1:7" ht="13.9" customHeight="1" x14ac:dyDescent="0.25">
      <c r="A59" s="56" t="s">
        <v>2</v>
      </c>
      <c r="B59" s="110" t="s">
        <v>239</v>
      </c>
      <c r="C59" s="110"/>
      <c r="D59" s="110"/>
      <c r="E59" s="110"/>
      <c r="F59" s="110"/>
      <c r="G59" s="58">
        <f>G19</f>
        <v>2360094.48</v>
      </c>
    </row>
    <row r="60" spans="1:7" ht="13.9" customHeight="1" x14ac:dyDescent="0.25">
      <c r="A60" s="56" t="s">
        <v>4</v>
      </c>
      <c r="B60" s="110" t="s">
        <v>240</v>
      </c>
      <c r="C60" s="110"/>
      <c r="D60" s="110"/>
      <c r="E60" s="110"/>
      <c r="F60" s="110"/>
      <c r="G60" s="58">
        <f>G25</f>
        <v>127120.8</v>
      </c>
    </row>
    <row r="61" spans="1:7" ht="13.9" customHeight="1" x14ac:dyDescent="0.25">
      <c r="A61" s="56" t="s">
        <v>6</v>
      </c>
      <c r="B61" s="110" t="s">
        <v>242</v>
      </c>
      <c r="C61" s="110"/>
      <c r="D61" s="110"/>
      <c r="E61" s="110"/>
      <c r="F61" s="110"/>
      <c r="G61" s="58">
        <f>G33</f>
        <v>159217.05999999997</v>
      </c>
    </row>
    <row r="62" spans="1:7" ht="13.9" customHeight="1" x14ac:dyDescent="0.25">
      <c r="A62" s="56" t="s">
        <v>31</v>
      </c>
      <c r="B62" s="110" t="s">
        <v>94</v>
      </c>
      <c r="C62" s="110"/>
      <c r="D62" s="110"/>
      <c r="E62" s="110"/>
      <c r="F62" s="110"/>
      <c r="G62" s="58">
        <f>G47</f>
        <v>495900.36</v>
      </c>
    </row>
    <row r="63" spans="1:7" x14ac:dyDescent="0.25">
      <c r="A63" s="111" t="s">
        <v>35</v>
      </c>
      <c r="B63" s="111"/>
      <c r="C63" s="111"/>
      <c r="D63" s="111"/>
      <c r="E63" s="111"/>
      <c r="F63" s="111"/>
      <c r="G63" s="59">
        <f>SUM(G59:G62)</f>
        <v>3142332.6999999997</v>
      </c>
    </row>
    <row r="65" spans="1:7" x14ac:dyDescent="0.25">
      <c r="A65" s="112" t="s">
        <v>243</v>
      </c>
      <c r="B65" s="112"/>
      <c r="C65" s="112"/>
      <c r="D65" s="112"/>
      <c r="E65" s="112"/>
      <c r="F65" s="112"/>
      <c r="G65" s="60">
        <f>G55+G63</f>
        <v>5949583.1799999997</v>
      </c>
    </row>
  </sheetData>
  <mergeCells count="46">
    <mergeCell ref="A65:F65"/>
    <mergeCell ref="A57:G57"/>
    <mergeCell ref="B59:F59"/>
    <mergeCell ref="B60:F60"/>
    <mergeCell ref="B61:F61"/>
    <mergeCell ref="B62:F62"/>
    <mergeCell ref="A51:G51"/>
    <mergeCell ref="B53:F53"/>
    <mergeCell ref="B54:F54"/>
    <mergeCell ref="A55:F55"/>
    <mergeCell ref="A63:F63"/>
    <mergeCell ref="B39:E39"/>
    <mergeCell ref="A40:F40"/>
    <mergeCell ref="A42:G42"/>
    <mergeCell ref="A47:F47"/>
    <mergeCell ref="A49:G49"/>
    <mergeCell ref="B32:D32"/>
    <mergeCell ref="A33:F33"/>
    <mergeCell ref="A35:G35"/>
    <mergeCell ref="B37:E37"/>
    <mergeCell ref="B38:E38"/>
    <mergeCell ref="A25:D25"/>
    <mergeCell ref="A27:G27"/>
    <mergeCell ref="B29:D29"/>
    <mergeCell ref="B30:D30"/>
    <mergeCell ref="B31:D31"/>
    <mergeCell ref="B18:C18"/>
    <mergeCell ref="A19:D19"/>
    <mergeCell ref="A21:G21"/>
    <mergeCell ref="B23:C23"/>
    <mergeCell ref="B24:C24"/>
    <mergeCell ref="B13:C13"/>
    <mergeCell ref="B14:C14"/>
    <mergeCell ref="B15:C15"/>
    <mergeCell ref="B16:C16"/>
    <mergeCell ref="B17:C17"/>
    <mergeCell ref="A6:G6"/>
    <mergeCell ref="A7:G7"/>
    <mergeCell ref="A8:G8"/>
    <mergeCell ref="A9:G9"/>
    <mergeCell ref="A11:G11"/>
    <mergeCell ref="A1:G1"/>
    <mergeCell ref="A2:G2"/>
    <mergeCell ref="A3:G3"/>
    <mergeCell ref="A4:G4"/>
    <mergeCell ref="A5:G5"/>
  </mergeCells>
  <pageMargins left="0.78749999999999998" right="0.78749999999999998" top="0.78749999999999998" bottom="1.05277777777778" header="0.51180555555555496" footer="0.78749999999999998"/>
  <pageSetup paperSize="9" scale="66" firstPageNumber="0" orientation="portrait" horizontalDpi="300" verticalDpi="300" r:id="rId1"/>
  <headerFooter>
    <oddFooter>&amp;L&amp;"Times New Roman,Negrito"&amp;12Estimativa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00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79" t="s">
        <v>113</v>
      </c>
      <c r="B13" s="79"/>
      <c r="C13" s="7" t="s">
        <v>15</v>
      </c>
      <c r="D13" s="7">
        <v>1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113</v>
      </c>
      <c r="D17" s="79"/>
    </row>
    <row r="18" spans="1:4" x14ac:dyDescent="0.25">
      <c r="A18" s="4">
        <v>2</v>
      </c>
      <c r="B18" s="4" t="s">
        <v>19</v>
      </c>
      <c r="C18" s="79" t="s">
        <v>114</v>
      </c>
      <c r="D18" s="79"/>
    </row>
    <row r="19" spans="1:4" x14ac:dyDescent="0.25">
      <c r="A19" s="4">
        <v>3</v>
      </c>
      <c r="B19" s="4" t="s">
        <v>21</v>
      </c>
      <c r="C19" s="80">
        <v>1273.17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1273.17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1273.17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106.05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141.44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247.49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304.13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38.01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45.61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22.8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15.2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9.1199999999999992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3.04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121.65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559.56000000000006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152.40980000000002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520.07979999999998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247.49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559.56000000000006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520.07979999999998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1327.1298000000002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5.21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0.41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2.0299999999999998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23.42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8.61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38.700000000000003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78.38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24.64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14.73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0.53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8.83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2.97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51.7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51.7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51.7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11.15</v>
      </c>
    </row>
    <row r="128" spans="1:4" x14ac:dyDescent="0.25">
      <c r="A128" s="8" t="s">
        <v>8</v>
      </c>
      <c r="B128" s="11" t="s">
        <v>96</v>
      </c>
      <c r="C128" s="11"/>
      <c r="D128" s="12">
        <v>12.27</v>
      </c>
    </row>
    <row r="129" spans="1:4" ht="12.75" customHeight="1" x14ac:dyDescent="0.25">
      <c r="A129" s="82" t="s">
        <v>56</v>
      </c>
      <c r="B129" s="82"/>
      <c r="C129" s="82"/>
      <c r="D129" s="13">
        <f>SUM(D125:D128)</f>
        <v>49.120000000000005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138.97499000000002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175.1084874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292.93372030114938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22.012315000000001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101.59530000000001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169.32550000000003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607.01719770114937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1273.17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1327.1298000000002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78.38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51.7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49.120000000000005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2779.4998000000001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607.01719770114937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3386.51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79" t="s">
        <v>115</v>
      </c>
      <c r="B13" s="79"/>
      <c r="C13" s="7" t="s">
        <v>15</v>
      </c>
      <c r="D13" s="7">
        <v>4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115</v>
      </c>
      <c r="D17" s="79"/>
    </row>
    <row r="18" spans="1:4" x14ac:dyDescent="0.25">
      <c r="A18" s="4">
        <v>2</v>
      </c>
      <c r="B18" s="4" t="s">
        <v>19</v>
      </c>
      <c r="C18" s="79" t="s">
        <v>114</v>
      </c>
      <c r="D18" s="79"/>
    </row>
    <row r="19" spans="1:4" x14ac:dyDescent="0.25">
      <c r="A19" s="4">
        <v>3</v>
      </c>
      <c r="B19" s="4" t="s">
        <v>21</v>
      </c>
      <c r="C19" s="80">
        <v>1212.03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1212.03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1212.03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523.74819999999988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235.61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532.69000000000005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523.74819999999988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4.96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0.39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1.93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22.3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8.1999999999999993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36.840000000000003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74.62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23.72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14.18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0.51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8.5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2.86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49.769999999999996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49.769999999999996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49.769999999999996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>
        <v>11.15</v>
      </c>
    </row>
    <row r="128" spans="1:4" x14ac:dyDescent="0.25">
      <c r="A128" s="8" t="s">
        <v>8</v>
      </c>
      <c r="B128" s="11" t="s">
        <v>96</v>
      </c>
      <c r="C128" s="11"/>
      <c r="D128" s="12">
        <v>12.27</v>
      </c>
    </row>
    <row r="129" spans="1:4" ht="12.75" customHeight="1" x14ac:dyDescent="0.25">
      <c r="A129" s="82" t="s">
        <v>56</v>
      </c>
      <c r="B129" s="82"/>
      <c r="C129" s="82"/>
      <c r="D129" s="13">
        <f>SUM(D125:D128)</f>
        <v>49.120000000000005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133.87940999999998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168.68805659999998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282.19317477931025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21.205210000000001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97.870199999999997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163.11700000000002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584.7606413793103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1212.03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1292.0482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74.62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49.769999999999996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49.120000000000005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2677.5881999999997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584.7606413793103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3262.34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3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79" t="s">
        <v>116</v>
      </c>
      <c r="B13" s="79"/>
      <c r="C13" s="7" t="s">
        <v>15</v>
      </c>
      <c r="D13" s="7">
        <v>2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116</v>
      </c>
      <c r="D17" s="79"/>
    </row>
    <row r="18" spans="1:4" x14ac:dyDescent="0.25">
      <c r="A18" s="4">
        <v>2</v>
      </c>
      <c r="B18" s="4" t="s">
        <v>19</v>
      </c>
      <c r="C18" s="79" t="s">
        <v>117</v>
      </c>
      <c r="D18" s="79"/>
    </row>
    <row r="19" spans="1:4" x14ac:dyDescent="0.25">
      <c r="A19" s="4">
        <v>3</v>
      </c>
      <c r="B19" s="4" t="s">
        <v>21</v>
      </c>
      <c r="C19" s="80">
        <v>1668.21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1668.21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1668.21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138.96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185.33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324.29000000000002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398.5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49.81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59.77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29.88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19.920000000000002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11.95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3.98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159.4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733.21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128.70740000000001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496.37740000000002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324.29000000000002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733.21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496.37740000000002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1553.8774000000001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6.83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0.54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2.66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30.69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11.29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50.71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102.72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30.58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18.28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0.66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10.97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3.69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64.179999999999993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64.179999999999993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64.179999999999993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/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34</v>
      </c>
      <c r="C128" s="11"/>
      <c r="D128" s="12"/>
    </row>
    <row r="129" spans="1:4" ht="12.75" customHeight="1" x14ac:dyDescent="0.25">
      <c r="A129" s="82" t="s">
        <v>56</v>
      </c>
      <c r="B129" s="82"/>
      <c r="C129" s="82"/>
      <c r="D129" s="13">
        <f>SUM(D125:D128)</f>
        <v>25.7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170.73437000000001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215.12530619999998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359.87665253563216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27.042729999999999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124.8126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208.02100000000002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745.73632873563213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1668.21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1553.8774000000001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102.72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64.179999999999993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25.7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3414.6873999999998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745.73632873563213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4160.42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0" zoomScaleNormal="115" workbookViewId="0">
      <selection activeCell="D27" sqref="D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79" t="s">
        <v>118</v>
      </c>
      <c r="B13" s="79"/>
      <c r="C13" s="7" t="s">
        <v>15</v>
      </c>
      <c r="D13" s="7">
        <v>1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118</v>
      </c>
      <c r="D17" s="79"/>
    </row>
    <row r="18" spans="1:4" x14ac:dyDescent="0.25">
      <c r="A18" s="4">
        <v>2</v>
      </c>
      <c r="B18" s="4" t="s">
        <v>19</v>
      </c>
      <c r="C18" s="79" t="s">
        <v>117</v>
      </c>
      <c r="D18" s="79"/>
    </row>
    <row r="19" spans="1:4" x14ac:dyDescent="0.25">
      <c r="A19" s="4">
        <v>3</v>
      </c>
      <c r="B19" s="4" t="s">
        <v>21</v>
      </c>
      <c r="C19" s="80">
        <v>1297.6199999999999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1297.6199999999999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1297.6199999999999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108.09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144.16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252.25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309.97000000000003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38.74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46.49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23.24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15.49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9.2899999999999991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3.09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123.98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570.29000000000008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150.94280000000003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518.61279999999999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252.25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570.29000000000008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518.61279999999999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1341.1528000000001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TRUNC(((1/12)*5%),4)</f>
        <v>4.1000000000000003E-3</v>
      </c>
      <c r="D83" s="12">
        <f>TRUNC($D$33*C83,2)</f>
        <v>5.32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0.42</v>
      </c>
    </row>
    <row r="85" spans="1:5" x14ac:dyDescent="0.25">
      <c r="A85" s="8" t="s">
        <v>6</v>
      </c>
      <c r="B85" s="25" t="s">
        <v>71</v>
      </c>
      <c r="C85" s="18">
        <f>TRUNC(8%*5%*40%,4)</f>
        <v>1.6000000000000001E-3</v>
      </c>
      <c r="D85" s="12">
        <f>TRUNC($D$33*C85,2)</f>
        <v>2.0699999999999998</v>
      </c>
    </row>
    <row r="86" spans="1:5" x14ac:dyDescent="0.25">
      <c r="A86" s="8" t="s">
        <v>8</v>
      </c>
      <c r="B86" s="25" t="s">
        <v>72</v>
      </c>
      <c r="C86" s="18">
        <f>TRUNC(((7/30)/12)*95%,4)</f>
        <v>1.84E-2</v>
      </c>
      <c r="D86" s="12">
        <f>TRUNC($D$33*C86,2)</f>
        <v>23.87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8.7799999999999994</v>
      </c>
    </row>
    <row r="88" spans="1:5" x14ac:dyDescent="0.25">
      <c r="A88" s="8" t="s">
        <v>51</v>
      </c>
      <c r="B88" s="25" t="s">
        <v>74</v>
      </c>
      <c r="C88" s="18">
        <f>TRUNC(8%*95%*40%,4)</f>
        <v>3.04E-2</v>
      </c>
      <c r="D88" s="12">
        <f>TRUNC($D$33*C88,2)</f>
        <v>39.44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79.900000000000006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</f>
        <v>9.1999999999999998E-3</v>
      </c>
      <c r="D98" s="12">
        <f t="shared" ref="D98:D103" si="1">TRUNC(($D$33+$D$77+$D$89)*C98,2)</f>
        <v>25.01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14.95</v>
      </c>
    </row>
    <row r="100" spans="1:6" x14ac:dyDescent="0.25">
      <c r="A100" s="8" t="s">
        <v>6</v>
      </c>
      <c r="B100" s="11" t="s">
        <v>81</v>
      </c>
      <c r="C100" s="18">
        <f>TRUNC(((5/30)/12)*2%,4)</f>
        <v>2.0000000000000001E-4</v>
      </c>
      <c r="D100" s="12">
        <f t="shared" si="1"/>
        <v>0.54</v>
      </c>
    </row>
    <row r="101" spans="1:6" x14ac:dyDescent="0.25">
      <c r="A101" s="8" t="s">
        <v>8</v>
      </c>
      <c r="B101" s="11" t="s">
        <v>82</v>
      </c>
      <c r="C101" s="18">
        <f>TRUNC(((15/30)/12)*8%,4)</f>
        <v>3.3E-3</v>
      </c>
      <c r="D101" s="12">
        <f t="shared" si="1"/>
        <v>8.9700000000000006</v>
      </c>
    </row>
    <row r="102" spans="1:6" x14ac:dyDescent="0.25">
      <c r="A102" s="8" t="s">
        <v>31</v>
      </c>
      <c r="B102" s="11" t="s">
        <v>83</v>
      </c>
      <c r="C102" s="18">
        <f>((1+1/3)/12)*3%*(4/12)</f>
        <v>1.1111111111111109E-3</v>
      </c>
      <c r="D102" s="12">
        <f t="shared" si="1"/>
        <v>3.02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52.49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52.49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52.49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25.7</v>
      </c>
    </row>
    <row r="126" spans="1:4" x14ac:dyDescent="0.25">
      <c r="A126" s="8" t="s">
        <v>4</v>
      </c>
      <c r="B126" s="11" t="s">
        <v>94</v>
      </c>
      <c r="C126" s="11"/>
      <c r="D126" s="12"/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34</v>
      </c>
      <c r="C128" s="11"/>
      <c r="D128" s="12"/>
    </row>
    <row r="129" spans="1:4" ht="12.75" customHeight="1" x14ac:dyDescent="0.25">
      <c r="A129" s="82" t="s">
        <v>56</v>
      </c>
      <c r="B129" s="82"/>
      <c r="C129" s="82"/>
      <c r="D129" s="13">
        <f>SUM(D125:D128)</f>
        <v>25.7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139.84313999999998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176.20235639999996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294.76362084137929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22.149854999999999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102.23009999999999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170.38350000000003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610.80911724137923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1297.6199999999999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1341.1528000000001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79.900000000000006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52.49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25.7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2796.8627999999994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610.80911724137923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3407.67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15" zoomScaleNormal="115" workbookViewId="0">
      <selection activeCell="D129" sqref="D129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76" t="s">
        <v>0</v>
      </c>
      <c r="B1" s="76"/>
      <c r="C1" s="76"/>
      <c r="D1" s="76"/>
    </row>
    <row r="2" spans="1:4" ht="15.75" x14ac:dyDescent="0.25">
      <c r="A2" s="2"/>
      <c r="B2" s="2"/>
      <c r="C2" s="2"/>
      <c r="D2" s="2"/>
    </row>
    <row r="3" spans="1:4" x14ac:dyDescent="0.25">
      <c r="A3" s="77" t="s">
        <v>1</v>
      </c>
      <c r="B3" s="77"/>
      <c r="C3" s="77"/>
      <c r="D3" s="77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/>
    </row>
    <row r="10" spans="1:4" x14ac:dyDescent="0.25">
      <c r="A10" s="77" t="s">
        <v>10</v>
      </c>
      <c r="B10" s="77"/>
      <c r="C10" s="77"/>
      <c r="D10" s="77"/>
    </row>
    <row r="11" spans="1:4" x14ac:dyDescent="0.25">
      <c r="A11" s="3"/>
      <c r="B11" s="3"/>
      <c r="C11" s="3"/>
      <c r="D11" s="3"/>
    </row>
    <row r="12" spans="1:4" ht="38.25" customHeight="1" x14ac:dyDescent="0.25">
      <c r="A12" s="78" t="s">
        <v>11</v>
      </c>
      <c r="B12" s="78"/>
      <c r="C12" s="8" t="s">
        <v>12</v>
      </c>
      <c r="D12" s="9" t="s">
        <v>13</v>
      </c>
    </row>
    <row r="13" spans="1:4" x14ac:dyDescent="0.25">
      <c r="A13" s="89" t="s">
        <v>257</v>
      </c>
      <c r="B13" s="90"/>
      <c r="C13" s="7" t="s">
        <v>15</v>
      </c>
      <c r="D13" s="7">
        <v>10</v>
      </c>
    </row>
    <row r="15" spans="1:4" x14ac:dyDescent="0.25">
      <c r="A15" s="77" t="s">
        <v>16</v>
      </c>
      <c r="B15" s="77"/>
      <c r="C15" s="77"/>
      <c r="D15" s="77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79" t="s">
        <v>18</v>
      </c>
      <c r="D17" s="79"/>
    </row>
    <row r="18" spans="1:4" x14ac:dyDescent="0.25">
      <c r="A18" s="4">
        <v>2</v>
      </c>
      <c r="B18" s="4" t="s">
        <v>19</v>
      </c>
      <c r="C18" s="79" t="s">
        <v>20</v>
      </c>
      <c r="D18" s="79"/>
    </row>
    <row r="19" spans="1:4" x14ac:dyDescent="0.25">
      <c r="A19" s="4">
        <v>3</v>
      </c>
      <c r="B19" s="4" t="s">
        <v>21</v>
      </c>
      <c r="C19" s="80">
        <v>1212.03</v>
      </c>
      <c r="D19" s="80"/>
    </row>
    <row r="20" spans="1:4" x14ac:dyDescent="0.25">
      <c r="A20" s="4">
        <v>4</v>
      </c>
      <c r="B20" s="4" t="s">
        <v>22</v>
      </c>
      <c r="C20" s="79" t="s">
        <v>256</v>
      </c>
      <c r="D20" s="79"/>
    </row>
    <row r="21" spans="1:4" x14ac:dyDescent="0.25">
      <c r="A21" s="4">
        <v>5</v>
      </c>
      <c r="B21" s="4" t="s">
        <v>23</v>
      </c>
      <c r="C21" s="81">
        <v>44562</v>
      </c>
      <c r="D21" s="81"/>
    </row>
    <row r="23" spans="1:4" x14ac:dyDescent="0.25">
      <c r="A23" s="77" t="s">
        <v>24</v>
      </c>
      <c r="B23" s="77"/>
      <c r="C23" s="77"/>
      <c r="D23" s="77"/>
    </row>
    <row r="25" spans="1:4" ht="12.75" customHeight="1" x14ac:dyDescent="0.25">
      <c r="A25" s="10">
        <v>1</v>
      </c>
      <c r="B25" s="82" t="s">
        <v>25</v>
      </c>
      <c r="C25" s="82"/>
      <c r="D25" s="10" t="s">
        <v>26</v>
      </c>
    </row>
    <row r="26" spans="1:4" ht="12.75" customHeight="1" x14ac:dyDescent="0.25">
      <c r="A26" s="8" t="s">
        <v>2</v>
      </c>
      <c r="B26" s="83" t="s">
        <v>27</v>
      </c>
      <c r="C26" s="83"/>
      <c r="D26" s="12">
        <v>1212.03</v>
      </c>
    </row>
    <row r="27" spans="1:4" ht="12.75" customHeight="1" x14ac:dyDescent="0.25">
      <c r="A27" s="8" t="s">
        <v>4</v>
      </c>
      <c r="B27" s="83" t="s">
        <v>28</v>
      </c>
      <c r="C27" s="83"/>
      <c r="D27" s="12"/>
    </row>
    <row r="28" spans="1:4" ht="12.75" customHeight="1" x14ac:dyDescent="0.25">
      <c r="A28" s="8" t="s">
        <v>6</v>
      </c>
      <c r="B28" s="83" t="s">
        <v>29</v>
      </c>
      <c r="C28" s="83"/>
      <c r="D28" s="12"/>
    </row>
    <row r="29" spans="1:4" ht="12.75" customHeight="1" x14ac:dyDescent="0.25">
      <c r="A29" s="8" t="s">
        <v>8</v>
      </c>
      <c r="B29" s="83" t="s">
        <v>30</v>
      </c>
      <c r="C29" s="83"/>
      <c r="D29" s="12"/>
    </row>
    <row r="30" spans="1:4" ht="12.75" customHeight="1" x14ac:dyDescent="0.25">
      <c r="A30" s="8" t="s">
        <v>31</v>
      </c>
      <c r="B30" s="83" t="s">
        <v>32</v>
      </c>
      <c r="C30" s="83"/>
      <c r="D30" s="12"/>
    </row>
    <row r="31" spans="1:4" x14ac:dyDescent="0.25">
      <c r="A31" s="8"/>
      <c r="B31" s="83"/>
      <c r="C31" s="83"/>
      <c r="D31" s="12"/>
    </row>
    <row r="32" spans="1:4" ht="12.75" customHeight="1" x14ac:dyDescent="0.25">
      <c r="A32" s="8" t="s">
        <v>33</v>
      </c>
      <c r="B32" s="83" t="s">
        <v>34</v>
      </c>
      <c r="C32" s="83"/>
      <c r="D32" s="12"/>
    </row>
    <row r="33" spans="1:4" ht="12.75" customHeight="1" x14ac:dyDescent="0.25">
      <c r="A33" s="82" t="s">
        <v>35</v>
      </c>
      <c r="B33" s="82"/>
      <c r="C33" s="82"/>
      <c r="D33" s="13">
        <f>SUM(D26:D32)</f>
        <v>1212.03</v>
      </c>
    </row>
    <row r="36" spans="1:4" x14ac:dyDescent="0.25">
      <c r="A36" s="77" t="s">
        <v>36</v>
      </c>
      <c r="B36" s="77"/>
      <c r="C36" s="77"/>
      <c r="D36" s="77"/>
    </row>
    <row r="37" spans="1:4" x14ac:dyDescent="0.25">
      <c r="A37" s="14"/>
    </row>
    <row r="38" spans="1:4" x14ac:dyDescent="0.25">
      <c r="A38" s="84" t="s">
        <v>37</v>
      </c>
      <c r="B38" s="84"/>
      <c r="C38" s="84"/>
      <c r="D38" s="84"/>
    </row>
    <row r="40" spans="1:4" ht="12.75" customHeight="1" x14ac:dyDescent="0.25">
      <c r="A40" s="10" t="s">
        <v>38</v>
      </c>
      <c r="B40" s="82" t="s">
        <v>39</v>
      </c>
      <c r="C40" s="82"/>
      <c r="D40" s="10" t="s">
        <v>26</v>
      </c>
    </row>
    <row r="41" spans="1:4" x14ac:dyDescent="0.25">
      <c r="A41" s="8" t="s">
        <v>2</v>
      </c>
      <c r="B41" s="11" t="s">
        <v>40</v>
      </c>
      <c r="C41" s="15">
        <f>TRUNC(1/12,4)</f>
        <v>8.3299999999999999E-2</v>
      </c>
      <c r="D41" s="12">
        <f>TRUNC($D$33*C41,2)</f>
        <v>100.96</v>
      </c>
    </row>
    <row r="42" spans="1:4" x14ac:dyDescent="0.25">
      <c r="A42" s="8" t="s">
        <v>4</v>
      </c>
      <c r="B42" s="11" t="s">
        <v>41</v>
      </c>
      <c r="C42" s="15">
        <f>TRUNC(((1+1/3)/12),4)</f>
        <v>0.1111</v>
      </c>
      <c r="D42" s="12">
        <f>TRUNC($D$33*C42,2)</f>
        <v>134.65</v>
      </c>
    </row>
    <row r="43" spans="1:4" ht="12.75" customHeight="1" x14ac:dyDescent="0.25">
      <c r="A43" s="82" t="s">
        <v>35</v>
      </c>
      <c r="B43" s="82"/>
      <c r="C43" s="16">
        <f>SUM(C41:C42)</f>
        <v>0.19440000000000002</v>
      </c>
      <c r="D43" s="17">
        <f>SUM(D41:D42)</f>
        <v>235.61</v>
      </c>
    </row>
    <row r="46" spans="1:4" ht="12.75" customHeight="1" x14ac:dyDescent="0.25">
      <c r="A46" s="85" t="s">
        <v>42</v>
      </c>
      <c r="B46" s="85"/>
      <c r="C46" s="85"/>
      <c r="D46" s="85"/>
    </row>
    <row r="48" spans="1:4" x14ac:dyDescent="0.25">
      <c r="A48" s="10" t="s">
        <v>43</v>
      </c>
      <c r="B48" s="10" t="s">
        <v>44</v>
      </c>
      <c r="C48" s="10" t="s">
        <v>45</v>
      </c>
      <c r="D48" s="10" t="s">
        <v>26</v>
      </c>
    </row>
    <row r="49" spans="1:4" x14ac:dyDescent="0.25">
      <c r="A49" s="8" t="s">
        <v>2</v>
      </c>
      <c r="B49" s="11" t="s">
        <v>46</v>
      </c>
      <c r="C49" s="18">
        <v>0.2</v>
      </c>
      <c r="D49" s="12">
        <f t="shared" ref="D49:D56" si="0">TRUNC(($D$33+$D$43)*C49,2)</f>
        <v>289.52</v>
      </c>
    </row>
    <row r="50" spans="1:4" x14ac:dyDescent="0.25">
      <c r="A50" s="8" t="s">
        <v>4</v>
      </c>
      <c r="B50" s="11" t="s">
        <v>47</v>
      </c>
      <c r="C50" s="18">
        <v>2.5000000000000001E-2</v>
      </c>
      <c r="D50" s="12">
        <f t="shared" si="0"/>
        <v>36.19</v>
      </c>
    </row>
    <row r="51" spans="1:4" x14ac:dyDescent="0.25">
      <c r="A51" s="8" t="s">
        <v>6</v>
      </c>
      <c r="B51" s="11" t="s">
        <v>48</v>
      </c>
      <c r="C51" s="19">
        <v>0.03</v>
      </c>
      <c r="D51" s="12">
        <f t="shared" si="0"/>
        <v>43.42</v>
      </c>
    </row>
    <row r="52" spans="1:4" x14ac:dyDescent="0.25">
      <c r="A52" s="8" t="s">
        <v>8</v>
      </c>
      <c r="B52" s="11" t="s">
        <v>49</v>
      </c>
      <c r="C52" s="18">
        <v>1.4999999999999999E-2</v>
      </c>
      <c r="D52" s="12">
        <f t="shared" si="0"/>
        <v>21.71</v>
      </c>
    </row>
    <row r="53" spans="1:4" x14ac:dyDescent="0.25">
      <c r="A53" s="8" t="s">
        <v>31</v>
      </c>
      <c r="B53" s="11" t="s">
        <v>50</v>
      </c>
      <c r="C53" s="18">
        <v>0.01</v>
      </c>
      <c r="D53" s="12">
        <f t="shared" si="0"/>
        <v>14.47</v>
      </c>
    </row>
    <row r="54" spans="1:4" x14ac:dyDescent="0.25">
      <c r="A54" s="8" t="s">
        <v>51</v>
      </c>
      <c r="B54" s="11" t="s">
        <v>52</v>
      </c>
      <c r="C54" s="18">
        <v>6.0000000000000001E-3</v>
      </c>
      <c r="D54" s="12">
        <f t="shared" si="0"/>
        <v>8.68</v>
      </c>
    </row>
    <row r="55" spans="1:4" x14ac:dyDescent="0.25">
      <c r="A55" s="8" t="s">
        <v>33</v>
      </c>
      <c r="B55" s="11" t="s">
        <v>53</v>
      </c>
      <c r="C55" s="18">
        <v>2E-3</v>
      </c>
      <c r="D55" s="12">
        <f t="shared" si="0"/>
        <v>2.89</v>
      </c>
    </row>
    <row r="56" spans="1:4" x14ac:dyDescent="0.25">
      <c r="A56" s="8" t="s">
        <v>54</v>
      </c>
      <c r="B56" s="11" t="s">
        <v>55</v>
      </c>
      <c r="C56" s="18">
        <v>0.08</v>
      </c>
      <c r="D56" s="12">
        <f t="shared" si="0"/>
        <v>115.81</v>
      </c>
    </row>
    <row r="57" spans="1:4" ht="12.75" customHeight="1" x14ac:dyDescent="0.25">
      <c r="A57" s="82" t="s">
        <v>56</v>
      </c>
      <c r="B57" s="82"/>
      <c r="C57" s="20">
        <f>SUM(C49:C56)</f>
        <v>0.36800000000000005</v>
      </c>
      <c r="D57" s="17">
        <f>SUM(D49:D56)</f>
        <v>532.69000000000005</v>
      </c>
    </row>
    <row r="60" spans="1:4" x14ac:dyDescent="0.25">
      <c r="A60" s="84" t="s">
        <v>57</v>
      </c>
      <c r="B60" s="84"/>
      <c r="C60" s="84"/>
      <c r="D60" s="84"/>
    </row>
    <row r="62" spans="1:4" ht="12.75" customHeight="1" x14ac:dyDescent="0.25">
      <c r="A62" s="10" t="s">
        <v>58</v>
      </c>
      <c r="B62" s="86" t="s">
        <v>59</v>
      </c>
      <c r="C62" s="86"/>
      <c r="D62" s="10" t="s">
        <v>26</v>
      </c>
    </row>
    <row r="63" spans="1:4" ht="12.75" customHeight="1" x14ac:dyDescent="0.25">
      <c r="A63" s="8" t="s">
        <v>2</v>
      </c>
      <c r="B63" s="83" t="s">
        <v>60</v>
      </c>
      <c r="C63" s="83"/>
      <c r="D63" s="12">
        <f>(26*2*4.4)-(D26*0.06)</f>
        <v>156.07820000000001</v>
      </c>
    </row>
    <row r="64" spans="1:4" ht="12.75" customHeight="1" x14ac:dyDescent="0.25">
      <c r="A64" s="8" t="s">
        <v>4</v>
      </c>
      <c r="B64" s="83" t="s">
        <v>61</v>
      </c>
      <c r="C64" s="83"/>
      <c r="D64" s="12">
        <f>(13.1*0.8)*22</f>
        <v>230.56</v>
      </c>
    </row>
    <row r="65" spans="1:5" ht="12.75" customHeight="1" x14ac:dyDescent="0.25">
      <c r="A65" s="8" t="s">
        <v>6</v>
      </c>
      <c r="B65" s="83" t="s">
        <v>62</v>
      </c>
      <c r="C65" s="83"/>
      <c r="D65" s="12">
        <v>122.19</v>
      </c>
    </row>
    <row r="66" spans="1:5" ht="12.75" customHeight="1" x14ac:dyDescent="0.25">
      <c r="A66" s="8" t="s">
        <v>8</v>
      </c>
      <c r="B66" s="83" t="s">
        <v>63</v>
      </c>
      <c r="C66" s="83"/>
      <c r="D66" s="12">
        <v>11.11</v>
      </c>
    </row>
    <row r="67" spans="1:5" ht="12.75" customHeight="1" x14ac:dyDescent="0.25">
      <c r="A67" s="8" t="s">
        <v>31</v>
      </c>
      <c r="B67" s="83" t="s">
        <v>64</v>
      </c>
      <c r="C67" s="83"/>
      <c r="D67" s="12">
        <v>3.81</v>
      </c>
    </row>
    <row r="68" spans="1:5" ht="12.75" customHeight="1" x14ac:dyDescent="0.25">
      <c r="A68" s="82" t="s">
        <v>35</v>
      </c>
      <c r="B68" s="82"/>
      <c r="C68" s="82"/>
      <c r="D68" s="17">
        <f>SUM(D63:D67)</f>
        <v>523.74819999999988</v>
      </c>
    </row>
    <row r="71" spans="1:5" x14ac:dyDescent="0.25">
      <c r="A71" s="84" t="s">
        <v>65</v>
      </c>
      <c r="B71" s="84"/>
      <c r="C71" s="84"/>
      <c r="D71" s="84"/>
    </row>
    <row r="73" spans="1:5" ht="12.75" customHeight="1" x14ac:dyDescent="0.25">
      <c r="A73" s="10">
        <v>2</v>
      </c>
      <c r="B73" s="86" t="s">
        <v>66</v>
      </c>
      <c r="C73" s="86"/>
      <c r="D73" s="10" t="s">
        <v>26</v>
      </c>
    </row>
    <row r="74" spans="1:5" ht="12.75" customHeight="1" x14ac:dyDescent="0.25">
      <c r="A74" s="8" t="s">
        <v>38</v>
      </c>
      <c r="B74" s="83" t="s">
        <v>39</v>
      </c>
      <c r="C74" s="83"/>
      <c r="D74" s="21">
        <f>D43</f>
        <v>235.61</v>
      </c>
    </row>
    <row r="75" spans="1:5" ht="12.75" customHeight="1" x14ac:dyDescent="0.25">
      <c r="A75" s="8" t="s">
        <v>43</v>
      </c>
      <c r="B75" s="83" t="s">
        <v>44</v>
      </c>
      <c r="C75" s="83"/>
      <c r="D75" s="21">
        <f>D57</f>
        <v>532.69000000000005</v>
      </c>
    </row>
    <row r="76" spans="1:5" ht="12.75" customHeight="1" x14ac:dyDescent="0.25">
      <c r="A76" s="8" t="s">
        <v>58</v>
      </c>
      <c r="B76" s="83" t="s">
        <v>59</v>
      </c>
      <c r="C76" s="83"/>
      <c r="D76" s="21">
        <f>D68</f>
        <v>523.74819999999988</v>
      </c>
    </row>
    <row r="77" spans="1:5" ht="12.75" customHeight="1" x14ac:dyDescent="0.25">
      <c r="A77" s="82" t="s">
        <v>35</v>
      </c>
      <c r="B77" s="82"/>
      <c r="C77" s="82"/>
      <c r="D77" s="17">
        <f>SUM(D74:D76)</f>
        <v>1292.0482</v>
      </c>
    </row>
    <row r="78" spans="1:5" x14ac:dyDescent="0.25">
      <c r="A78" s="22"/>
      <c r="E78" s="23"/>
    </row>
    <row r="80" spans="1:5" x14ac:dyDescent="0.25">
      <c r="A80" s="77" t="s">
        <v>67</v>
      </c>
      <c r="B80" s="77"/>
      <c r="C80" s="77"/>
      <c r="D80" s="77"/>
      <c r="E80" s="24"/>
    </row>
    <row r="81" spans="1:5" ht="12.75" customHeight="1" x14ac:dyDescent="0.25">
      <c r="E81" s="23"/>
    </row>
    <row r="82" spans="1:5" ht="12.75" customHeight="1" x14ac:dyDescent="0.25">
      <c r="A82" s="10">
        <v>3</v>
      </c>
      <c r="B82" s="86" t="s">
        <v>68</v>
      </c>
      <c r="C82" s="86"/>
      <c r="D82" s="10" t="s">
        <v>26</v>
      </c>
    </row>
    <row r="83" spans="1:5" x14ac:dyDescent="0.25">
      <c r="A83" s="8" t="s">
        <v>2</v>
      </c>
      <c r="B83" s="25" t="s">
        <v>69</v>
      </c>
      <c r="C83" s="18">
        <f>TRUNC(((1/12)*0%),4)</f>
        <v>0</v>
      </c>
      <c r="D83" s="12">
        <f>TRUNC($D$33*C83,2)</f>
        <v>0</v>
      </c>
    </row>
    <row r="84" spans="1:5" x14ac:dyDescent="0.25">
      <c r="A84" s="8" t="s">
        <v>4</v>
      </c>
      <c r="B84" s="25" t="s">
        <v>70</v>
      </c>
      <c r="C84" s="18">
        <v>0.08</v>
      </c>
      <c r="D84" s="12">
        <f>TRUNC(D83*C84,2)</f>
        <v>0</v>
      </c>
    </row>
    <row r="85" spans="1:5" x14ac:dyDescent="0.25">
      <c r="A85" s="8" t="s">
        <v>6</v>
      </c>
      <c r="B85" s="25" t="s">
        <v>71</v>
      </c>
      <c r="C85" s="18">
        <f>TRUNC(8%*0%*40%,4)</f>
        <v>0</v>
      </c>
      <c r="D85" s="12">
        <f>TRUNC($D$33*C85,2)</f>
        <v>0</v>
      </c>
    </row>
    <row r="86" spans="1:5" x14ac:dyDescent="0.25">
      <c r="A86" s="8" t="s">
        <v>8</v>
      </c>
      <c r="B86" s="25" t="s">
        <v>72</v>
      </c>
      <c r="C86" s="18">
        <f>TRUNC(((7/30)/12)*0%,4)</f>
        <v>0</v>
      </c>
      <c r="D86" s="12">
        <f>TRUNC($D$33*C86,2)</f>
        <v>0</v>
      </c>
    </row>
    <row r="87" spans="1:5" ht="25.5" x14ac:dyDescent="0.25">
      <c r="A87" s="8" t="s">
        <v>31</v>
      </c>
      <c r="B87" s="25" t="s">
        <v>73</v>
      </c>
      <c r="C87" s="18">
        <f>C57</f>
        <v>0.36800000000000005</v>
      </c>
      <c r="D87" s="12">
        <f>TRUNC(D86*C87,2)</f>
        <v>0</v>
      </c>
    </row>
    <row r="88" spans="1:5" x14ac:dyDescent="0.25">
      <c r="A88" s="8" t="s">
        <v>51</v>
      </c>
      <c r="B88" s="25" t="s">
        <v>74</v>
      </c>
      <c r="C88" s="18">
        <f>TRUNC(8%*0%*40%,4)</f>
        <v>0</v>
      </c>
      <c r="D88" s="12">
        <f>TRUNC($D$33*C88,2)</f>
        <v>0</v>
      </c>
    </row>
    <row r="89" spans="1:5" ht="12.75" customHeight="1" x14ac:dyDescent="0.25">
      <c r="A89" s="82" t="s">
        <v>35</v>
      </c>
      <c r="B89" s="82"/>
      <c r="C89" s="82"/>
      <c r="D89" s="17">
        <f>SUM(D83:D88)</f>
        <v>0</v>
      </c>
    </row>
    <row r="92" spans="1:5" x14ac:dyDescent="0.25">
      <c r="A92" s="77" t="s">
        <v>75</v>
      </c>
      <c r="B92" s="77"/>
      <c r="C92" s="77"/>
      <c r="D92" s="77"/>
    </row>
    <row r="95" spans="1:5" x14ac:dyDescent="0.25">
      <c r="A95" s="84" t="s">
        <v>76</v>
      </c>
      <c r="B95" s="84"/>
      <c r="C95" s="84"/>
      <c r="D95" s="84"/>
    </row>
    <row r="96" spans="1:5" x14ac:dyDescent="0.25">
      <c r="A96" s="14"/>
    </row>
    <row r="97" spans="1:6" ht="12.75" customHeight="1" x14ac:dyDescent="0.25">
      <c r="A97" s="10" t="s">
        <v>77</v>
      </c>
      <c r="B97" s="86" t="s">
        <v>78</v>
      </c>
      <c r="C97" s="86"/>
      <c r="D97" s="10" t="s">
        <v>26</v>
      </c>
    </row>
    <row r="98" spans="1:6" x14ac:dyDescent="0.25">
      <c r="A98" s="8" t="s">
        <v>2</v>
      </c>
      <c r="B98" s="11" t="s">
        <v>79</v>
      </c>
      <c r="C98" s="18">
        <f>TRUNC(((1+1/3)/12)/12,4)*0</f>
        <v>0</v>
      </c>
      <c r="D98" s="12">
        <f t="shared" ref="D98:D103" si="1">TRUNC(($D$33+$D$77+$D$89)*C98,2)</f>
        <v>0</v>
      </c>
    </row>
    <row r="99" spans="1:6" x14ac:dyDescent="0.25">
      <c r="A99" s="8" t="s">
        <v>4</v>
      </c>
      <c r="B99" s="11" t="s">
        <v>80</v>
      </c>
      <c r="C99" s="18">
        <f>TRUNC(((2/30)/12),4)</f>
        <v>5.4999999999999997E-3</v>
      </c>
      <c r="D99" s="12">
        <f t="shared" si="1"/>
        <v>13.77</v>
      </c>
    </row>
    <row r="100" spans="1:6" x14ac:dyDescent="0.25">
      <c r="A100" s="8" t="s">
        <v>6</v>
      </c>
      <c r="B100" s="11" t="s">
        <v>81</v>
      </c>
      <c r="C100" s="18">
        <f>TRUNC(((5/30)/12)*2%,4)*0</f>
        <v>0</v>
      </c>
      <c r="D100" s="12">
        <f t="shared" si="1"/>
        <v>0</v>
      </c>
    </row>
    <row r="101" spans="1:6" x14ac:dyDescent="0.25">
      <c r="A101" s="8" t="s">
        <v>8</v>
      </c>
      <c r="B101" s="11" t="s">
        <v>82</v>
      </c>
      <c r="C101" s="18">
        <f>TRUNC(((15/30)/12)*8%,4)*0</f>
        <v>0</v>
      </c>
      <c r="D101" s="12">
        <f t="shared" si="1"/>
        <v>0</v>
      </c>
    </row>
    <row r="102" spans="1:6" x14ac:dyDescent="0.25">
      <c r="A102" s="8" t="s">
        <v>31</v>
      </c>
      <c r="B102" s="11" t="s">
        <v>83</v>
      </c>
      <c r="C102" s="18">
        <f>((1+1/3)/12)*3%*(4/12)*0</f>
        <v>0</v>
      </c>
      <c r="D102" s="12">
        <f t="shared" si="1"/>
        <v>0</v>
      </c>
    </row>
    <row r="103" spans="1:6" x14ac:dyDescent="0.25">
      <c r="A103" s="8" t="s">
        <v>51</v>
      </c>
      <c r="B103" s="11" t="s">
        <v>84</v>
      </c>
      <c r="C103" s="18"/>
      <c r="D103" s="12">
        <f t="shared" si="1"/>
        <v>0</v>
      </c>
    </row>
    <row r="104" spans="1:6" ht="12.75" customHeight="1" x14ac:dyDescent="0.25">
      <c r="A104" s="82" t="s">
        <v>56</v>
      </c>
      <c r="B104" s="82"/>
      <c r="C104" s="82"/>
      <c r="D104" s="17">
        <f>SUM(D98:D103)</f>
        <v>13.77</v>
      </c>
      <c r="E104" s="24"/>
      <c r="F104" s="24"/>
    </row>
    <row r="107" spans="1:6" x14ac:dyDescent="0.25">
      <c r="A107" s="84" t="s">
        <v>85</v>
      </c>
      <c r="B107" s="84"/>
      <c r="C107" s="84"/>
      <c r="D107" s="84"/>
    </row>
    <row r="108" spans="1:6" x14ac:dyDescent="0.25">
      <c r="A108" s="14"/>
    </row>
    <row r="109" spans="1:6" ht="12.75" customHeight="1" x14ac:dyDescent="0.25">
      <c r="A109" s="10" t="s">
        <v>86</v>
      </c>
      <c r="B109" s="86" t="s">
        <v>87</v>
      </c>
      <c r="C109" s="86"/>
      <c r="D109" s="10" t="s">
        <v>26</v>
      </c>
    </row>
    <row r="110" spans="1:6" ht="12.75" customHeight="1" x14ac:dyDescent="0.25">
      <c r="A110" s="8" t="s">
        <v>2</v>
      </c>
      <c r="B110" s="83" t="s">
        <v>88</v>
      </c>
      <c r="C110" s="83"/>
      <c r="D110" s="12">
        <f>((D33+D77+D89)/220)*22*0</f>
        <v>0</v>
      </c>
    </row>
    <row r="111" spans="1:6" ht="12.75" customHeight="1" x14ac:dyDescent="0.25">
      <c r="A111" s="82" t="s">
        <v>35</v>
      </c>
      <c r="B111" s="82"/>
      <c r="C111" s="82"/>
      <c r="D111" s="17">
        <f>SUM(D110)</f>
        <v>0</v>
      </c>
    </row>
    <row r="114" spans="1:4" x14ac:dyDescent="0.25">
      <c r="A114" s="84" t="s">
        <v>89</v>
      </c>
      <c r="B114" s="84"/>
      <c r="C114" s="84"/>
      <c r="D114" s="84"/>
    </row>
    <row r="115" spans="1:4" x14ac:dyDescent="0.25">
      <c r="A115" s="14"/>
    </row>
    <row r="116" spans="1:4" ht="12.75" customHeight="1" x14ac:dyDescent="0.25">
      <c r="A116" s="10">
        <v>4</v>
      </c>
      <c r="B116" s="82" t="s">
        <v>90</v>
      </c>
      <c r="C116" s="82"/>
      <c r="D116" s="10" t="s">
        <v>26</v>
      </c>
    </row>
    <row r="117" spans="1:4" ht="12.75" customHeight="1" x14ac:dyDescent="0.25">
      <c r="A117" s="8" t="s">
        <v>77</v>
      </c>
      <c r="B117" s="83" t="s">
        <v>78</v>
      </c>
      <c r="C117" s="83"/>
      <c r="D117" s="21">
        <f>D104</f>
        <v>13.77</v>
      </c>
    </row>
    <row r="118" spans="1:4" ht="12.75" customHeight="1" x14ac:dyDescent="0.25">
      <c r="A118" s="8" t="s">
        <v>86</v>
      </c>
      <c r="B118" s="83" t="s">
        <v>87</v>
      </c>
      <c r="C118" s="83"/>
      <c r="D118" s="21">
        <f>D111</f>
        <v>0</v>
      </c>
    </row>
    <row r="119" spans="1:4" ht="12.75" customHeight="1" x14ac:dyDescent="0.25">
      <c r="A119" s="82" t="s">
        <v>35</v>
      </c>
      <c r="B119" s="82"/>
      <c r="C119" s="82"/>
      <c r="D119" s="17">
        <f>SUM(D117:D118)</f>
        <v>13.77</v>
      </c>
    </row>
    <row r="122" spans="1:4" x14ac:dyDescent="0.25">
      <c r="A122" s="77" t="s">
        <v>91</v>
      </c>
      <c r="B122" s="77"/>
      <c r="C122" s="77"/>
      <c r="D122" s="77"/>
    </row>
    <row r="124" spans="1:4" ht="12.75" customHeight="1" x14ac:dyDescent="0.25">
      <c r="A124" s="10">
        <v>5</v>
      </c>
      <c r="B124" s="87" t="s">
        <v>92</v>
      </c>
      <c r="C124" s="87"/>
      <c r="D124" s="10" t="s">
        <v>26</v>
      </c>
    </row>
    <row r="125" spans="1:4" x14ac:dyDescent="0.25">
      <c r="A125" s="8" t="s">
        <v>2</v>
      </c>
      <c r="B125" s="11" t="s">
        <v>93</v>
      </c>
      <c r="C125" s="11"/>
      <c r="D125" s="12">
        <v>77.09</v>
      </c>
    </row>
    <row r="126" spans="1:4" x14ac:dyDescent="0.25">
      <c r="A126" s="8" t="s">
        <v>4</v>
      </c>
      <c r="B126" s="11" t="s">
        <v>94</v>
      </c>
      <c r="C126" s="11"/>
      <c r="D126" s="12">
        <v>0</v>
      </c>
    </row>
    <row r="127" spans="1:4" x14ac:dyDescent="0.25">
      <c r="A127" s="8" t="s">
        <v>6</v>
      </c>
      <c r="B127" s="11" t="s">
        <v>95</v>
      </c>
      <c r="C127" s="11"/>
      <c r="D127" s="12"/>
    </row>
    <row r="128" spans="1:4" x14ac:dyDescent="0.25">
      <c r="A128" s="8" t="s">
        <v>8</v>
      </c>
      <c r="B128" s="11" t="s">
        <v>96</v>
      </c>
      <c r="C128" s="11"/>
      <c r="D128" s="12">
        <v>13.44</v>
      </c>
    </row>
    <row r="129" spans="1:4" ht="12.75" customHeight="1" x14ac:dyDescent="0.25">
      <c r="A129" s="82" t="s">
        <v>56</v>
      </c>
      <c r="B129" s="82"/>
      <c r="C129" s="82"/>
      <c r="D129" s="13">
        <f>SUM(D125:D128)</f>
        <v>90.53</v>
      </c>
    </row>
    <row r="132" spans="1:4" x14ac:dyDescent="0.25">
      <c r="A132" s="77" t="s">
        <v>97</v>
      </c>
      <c r="B132" s="77"/>
      <c r="C132" s="77"/>
      <c r="D132" s="77"/>
    </row>
    <row r="134" spans="1:4" x14ac:dyDescent="0.25">
      <c r="A134" s="10">
        <v>6</v>
      </c>
      <c r="B134" s="26" t="s">
        <v>98</v>
      </c>
      <c r="C134" s="10" t="s">
        <v>45</v>
      </c>
      <c r="D134" s="10" t="s">
        <v>26</v>
      </c>
    </row>
    <row r="135" spans="1:4" x14ac:dyDescent="0.25">
      <c r="A135" s="8" t="s">
        <v>2</v>
      </c>
      <c r="B135" s="11" t="s">
        <v>99</v>
      </c>
      <c r="C135" s="18">
        <v>0.05</v>
      </c>
      <c r="D135" s="21">
        <f>D155*C135</f>
        <v>130.41891000000001</v>
      </c>
    </row>
    <row r="136" spans="1:4" x14ac:dyDescent="0.25">
      <c r="A136" s="8" t="s">
        <v>4</v>
      </c>
      <c r="B136" s="11" t="s">
        <v>100</v>
      </c>
      <c r="C136" s="18">
        <v>0.06</v>
      </c>
      <c r="D136" s="12">
        <f>(D155+D135)*C136</f>
        <v>164.32782659999998</v>
      </c>
    </row>
    <row r="137" spans="1:4" x14ac:dyDescent="0.25">
      <c r="A137" s="8" t="s">
        <v>6</v>
      </c>
      <c r="B137" s="11" t="s">
        <v>101</v>
      </c>
      <c r="C137" s="15">
        <f>SUM(C138:C143)</f>
        <v>8.6499999999999994E-2</v>
      </c>
      <c r="D137" s="12">
        <f>(D155+D135+D136)*C137/(1-C137)</f>
        <v>274.89907719310349</v>
      </c>
    </row>
    <row r="138" spans="1:4" x14ac:dyDescent="0.25">
      <c r="A138" s="8"/>
      <c r="B138" s="11" t="s">
        <v>102</v>
      </c>
      <c r="C138" s="18"/>
      <c r="D138" s="21">
        <f t="shared" ref="D138:D143" si="2">$D$157*C138</f>
        <v>0</v>
      </c>
    </row>
    <row r="139" spans="1:4" x14ac:dyDescent="0.25">
      <c r="A139" s="8"/>
      <c r="B139" s="11" t="s">
        <v>103</v>
      </c>
      <c r="C139" s="18">
        <v>6.4999999999999997E-3</v>
      </c>
      <c r="D139" s="21">
        <f t="shared" si="2"/>
        <v>20.657129999999999</v>
      </c>
    </row>
    <row r="140" spans="1:4" x14ac:dyDescent="0.25">
      <c r="A140" s="8"/>
      <c r="B140" s="11" t="s">
        <v>104</v>
      </c>
      <c r="C140" s="18">
        <v>0.03</v>
      </c>
      <c r="D140" s="21">
        <f t="shared" si="2"/>
        <v>95.340599999999995</v>
      </c>
    </row>
    <row r="141" spans="1:4" x14ac:dyDescent="0.25">
      <c r="A141" s="8"/>
      <c r="B141" s="11" t="s">
        <v>105</v>
      </c>
      <c r="C141" s="8"/>
      <c r="D141" s="21">
        <f t="shared" si="2"/>
        <v>0</v>
      </c>
    </row>
    <row r="142" spans="1:4" x14ac:dyDescent="0.25">
      <c r="A142" s="8"/>
      <c r="B142" s="11" t="s">
        <v>106</v>
      </c>
      <c r="C142" s="18"/>
      <c r="D142" s="21">
        <f t="shared" si="2"/>
        <v>0</v>
      </c>
    </row>
    <row r="143" spans="1:4" x14ac:dyDescent="0.25">
      <c r="A143" s="8"/>
      <c r="B143" s="11" t="s">
        <v>107</v>
      </c>
      <c r="C143" s="18">
        <v>0.05</v>
      </c>
      <c r="D143" s="21">
        <f t="shared" si="2"/>
        <v>158.90100000000001</v>
      </c>
    </row>
    <row r="144" spans="1:4" ht="13.5" customHeight="1" x14ac:dyDescent="0.25">
      <c r="A144" s="88" t="s">
        <v>56</v>
      </c>
      <c r="B144" s="88"/>
      <c r="C144" s="27">
        <f>(1+C136)*(1+C135)/(1-C137)-1</f>
        <v>0.21839080459770144</v>
      </c>
      <c r="D144" s="17">
        <f>SUM(D135:D137)</f>
        <v>569.64581379310346</v>
      </c>
    </row>
    <row r="147" spans="1:4" x14ac:dyDescent="0.25">
      <c r="A147" s="77" t="s">
        <v>108</v>
      </c>
      <c r="B147" s="77"/>
      <c r="C147" s="77"/>
      <c r="D147" s="77"/>
    </row>
    <row r="149" spans="1:4" ht="12.75" customHeight="1" x14ac:dyDescent="0.25">
      <c r="A149" s="10"/>
      <c r="B149" s="82" t="s">
        <v>109</v>
      </c>
      <c r="C149" s="82"/>
      <c r="D149" s="10" t="s">
        <v>26</v>
      </c>
    </row>
    <row r="150" spans="1:4" ht="12.75" customHeight="1" x14ac:dyDescent="0.25">
      <c r="A150" s="10" t="s">
        <v>2</v>
      </c>
      <c r="B150" s="83" t="s">
        <v>24</v>
      </c>
      <c r="C150" s="83"/>
      <c r="D150" s="28">
        <f>D33</f>
        <v>1212.03</v>
      </c>
    </row>
    <row r="151" spans="1:4" ht="12.75" customHeight="1" x14ac:dyDescent="0.25">
      <c r="A151" s="10" t="s">
        <v>4</v>
      </c>
      <c r="B151" s="83" t="s">
        <v>36</v>
      </c>
      <c r="C151" s="83"/>
      <c r="D151" s="28">
        <f>D77</f>
        <v>1292.0482</v>
      </c>
    </row>
    <row r="152" spans="1:4" ht="12.75" customHeight="1" x14ac:dyDescent="0.25">
      <c r="A152" s="10" t="s">
        <v>6</v>
      </c>
      <c r="B152" s="83" t="s">
        <v>67</v>
      </c>
      <c r="C152" s="83"/>
      <c r="D152" s="28">
        <f>D89</f>
        <v>0</v>
      </c>
    </row>
    <row r="153" spans="1:4" ht="12.75" customHeight="1" x14ac:dyDescent="0.25">
      <c r="A153" s="10" t="s">
        <v>8</v>
      </c>
      <c r="B153" s="83" t="s">
        <v>75</v>
      </c>
      <c r="C153" s="83"/>
      <c r="D153" s="28">
        <f>D119</f>
        <v>13.77</v>
      </c>
    </row>
    <row r="154" spans="1:4" ht="12.75" customHeight="1" x14ac:dyDescent="0.25">
      <c r="A154" s="10" t="s">
        <v>31</v>
      </c>
      <c r="B154" s="83" t="s">
        <v>91</v>
      </c>
      <c r="C154" s="83"/>
      <c r="D154" s="28">
        <f>D129</f>
        <v>90.53</v>
      </c>
    </row>
    <row r="155" spans="1:4" ht="12.75" customHeight="1" x14ac:dyDescent="0.25">
      <c r="A155" s="82" t="s">
        <v>110</v>
      </c>
      <c r="B155" s="82"/>
      <c r="C155" s="82"/>
      <c r="D155" s="29">
        <f>SUM(D150:D154)</f>
        <v>2608.3782000000001</v>
      </c>
    </row>
    <row r="156" spans="1:4" ht="12.75" customHeight="1" x14ac:dyDescent="0.25">
      <c r="A156" s="10" t="s">
        <v>51</v>
      </c>
      <c r="B156" s="83" t="s">
        <v>111</v>
      </c>
      <c r="C156" s="83"/>
      <c r="D156" s="30">
        <f>D144</f>
        <v>569.64581379310346</v>
      </c>
    </row>
    <row r="157" spans="1:4" ht="12.75" customHeight="1" x14ac:dyDescent="0.25">
      <c r="A157" s="82" t="s">
        <v>112</v>
      </c>
      <c r="B157" s="82"/>
      <c r="C157" s="82"/>
      <c r="D157" s="29">
        <f>TRUNC(SUM(D155:D156),2)</f>
        <v>3178.02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E23" sqref="E23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119</v>
      </c>
      <c r="B1" s="91"/>
      <c r="C1" s="91"/>
      <c r="D1" s="91"/>
      <c r="E1" s="91"/>
    </row>
    <row r="3" spans="1:5" x14ac:dyDescent="0.25">
      <c r="A3" s="92" t="s">
        <v>18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serv!D33</f>
        <v>1212.03</v>
      </c>
    </row>
    <row r="5" spans="1:5" x14ac:dyDescent="0.25">
      <c r="A5" s="33" t="s">
        <v>4</v>
      </c>
      <c r="B5" s="93" t="s">
        <v>121</v>
      </c>
      <c r="C5" s="93"/>
      <c r="D5" s="36">
        <f>serv!C57</f>
        <v>0.36800000000000005</v>
      </c>
      <c r="E5" s="35">
        <f>E4*D5</f>
        <v>446.02704000000006</v>
      </c>
    </row>
    <row r="6" spans="1:5" x14ac:dyDescent="0.25">
      <c r="A6" s="33" t="s">
        <v>6</v>
      </c>
      <c r="B6" s="93" t="s">
        <v>99</v>
      </c>
      <c r="C6" s="93"/>
      <c r="D6" s="36">
        <f>serv!C135</f>
        <v>0.05</v>
      </c>
      <c r="E6" s="35">
        <f>TRUNC((E4+E5)*D6,2)</f>
        <v>82.9</v>
      </c>
    </row>
    <row r="7" spans="1:5" x14ac:dyDescent="0.25">
      <c r="A7" s="33" t="s">
        <v>8</v>
      </c>
      <c r="B7" s="93" t="s">
        <v>100</v>
      </c>
      <c r="C7" s="93"/>
      <c r="D7" s="36">
        <f>serv!C136</f>
        <v>0.06</v>
      </c>
      <c r="E7" s="35">
        <f>TRUNC((E4+E5+E6)*D7,2)</f>
        <v>104.45</v>
      </c>
    </row>
    <row r="8" spans="1:5" x14ac:dyDescent="0.25">
      <c r="A8" s="33" t="s">
        <v>31</v>
      </c>
      <c r="B8" s="93" t="s">
        <v>101</v>
      </c>
      <c r="C8" s="93"/>
      <c r="D8" s="36">
        <f>serv!C137</f>
        <v>8.6499999999999994E-2</v>
      </c>
      <c r="E8" s="35">
        <f>TRUNC((E4+E5+E6+E7)*D8/(1-D8),2)</f>
        <v>174.74</v>
      </c>
    </row>
    <row r="9" spans="1:5" x14ac:dyDescent="0.25">
      <c r="A9" s="94" t="s">
        <v>122</v>
      </c>
      <c r="B9" s="94"/>
      <c r="C9" s="94"/>
      <c r="D9" s="94"/>
      <c r="E9" s="35">
        <f>SUM(E4:E8)</f>
        <v>2020.1470400000003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9.18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13.77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18.36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32</v>
      </c>
      <c r="E15" s="35">
        <f>D15*E11</f>
        <v>440.64</v>
      </c>
    </row>
    <row r="16" spans="1:5" x14ac:dyDescent="0.25">
      <c r="A16" s="33" t="s">
        <v>131</v>
      </c>
      <c r="B16" s="93" t="s">
        <v>132</v>
      </c>
      <c r="C16" s="93"/>
      <c r="D16" s="33">
        <v>64</v>
      </c>
      <c r="E16" s="35">
        <f>D16*E12</f>
        <v>1175.04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1615.6799999999998</v>
      </c>
    </row>
    <row r="18" spans="1:5" x14ac:dyDescent="0.25">
      <c r="A18" s="94" t="s">
        <v>134</v>
      </c>
      <c r="B18" s="94"/>
      <c r="C18" s="94"/>
      <c r="D18" s="94"/>
      <c r="E18" s="33">
        <v>52</v>
      </c>
    </row>
    <row r="19" spans="1:5" x14ac:dyDescent="0.25">
      <c r="A19" s="96" t="s">
        <v>135</v>
      </c>
      <c r="B19" s="96"/>
      <c r="C19" s="96"/>
      <c r="D19" s="96"/>
      <c r="E19" s="37">
        <f>E17*E18</f>
        <v>84015.359999999986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8</v>
      </c>
      <c r="E21" s="33">
        <v>8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4359.68</v>
      </c>
      <c r="E24" s="35">
        <f>SUM(E22:E23)*$E$18*E21</f>
        <v>8020.4800000000005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217.98</v>
      </c>
      <c r="E25" s="35">
        <f>TRUNC((E24)*$C$25,2)</f>
        <v>401.02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274.64999999999998</v>
      </c>
      <c r="E26" s="35">
        <f>TRUNC((E24+E25)*$C$26,2)</f>
        <v>505.29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459.46</v>
      </c>
      <c r="E27" s="35">
        <f>TRUNC((E24+E25+E26)*$C$27/(1-$C$27),2)</f>
        <v>845.28</v>
      </c>
    </row>
    <row r="28" spans="1:5" x14ac:dyDescent="0.25">
      <c r="A28" s="98" t="s">
        <v>147</v>
      </c>
      <c r="B28" s="98"/>
      <c r="C28" s="98"/>
      <c r="D28" s="35">
        <f>SUM(D24:D27)</f>
        <v>5311.7699999999995</v>
      </c>
      <c r="E28" s="35">
        <f>SUM(E24:E27)</f>
        <v>9772.0700000000015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15083.84</v>
      </c>
    </row>
    <row r="30" spans="1:5" x14ac:dyDescent="0.25">
      <c r="A30" s="96" t="s">
        <v>149</v>
      </c>
      <c r="B30" s="96"/>
      <c r="C30" s="96"/>
      <c r="D30" s="96"/>
      <c r="E30" s="37">
        <f>E19+E29</f>
        <v>99099.199999999983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119</v>
      </c>
      <c r="B1" s="91"/>
      <c r="C1" s="91"/>
      <c r="D1" s="91"/>
      <c r="E1" s="91"/>
    </row>
    <row r="3" spans="1:5" x14ac:dyDescent="0.25">
      <c r="A3" s="92" t="s">
        <v>116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superv!D33</f>
        <v>1668.21</v>
      </c>
    </row>
    <row r="5" spans="1:5" x14ac:dyDescent="0.25">
      <c r="A5" s="33" t="s">
        <v>4</v>
      </c>
      <c r="B5" s="93" t="s">
        <v>121</v>
      </c>
      <c r="C5" s="93"/>
      <c r="D5" s="36">
        <f>superv!C57</f>
        <v>0.36800000000000005</v>
      </c>
      <c r="E5" s="35">
        <f>E4*D5</f>
        <v>613.90128000000004</v>
      </c>
    </row>
    <row r="6" spans="1:5" x14ac:dyDescent="0.25">
      <c r="A6" s="33" t="s">
        <v>6</v>
      </c>
      <c r="B6" s="93" t="s">
        <v>99</v>
      </c>
      <c r="C6" s="93"/>
      <c r="D6" s="36">
        <f>superv!C135</f>
        <v>0.05</v>
      </c>
      <c r="E6" s="35">
        <f>TRUNC((E4+E5)*D6,2)</f>
        <v>114.1</v>
      </c>
    </row>
    <row r="7" spans="1:5" x14ac:dyDescent="0.25">
      <c r="A7" s="33" t="s">
        <v>8</v>
      </c>
      <c r="B7" s="93" t="s">
        <v>100</v>
      </c>
      <c r="C7" s="93"/>
      <c r="D7" s="36">
        <f>superv!C136</f>
        <v>0.06</v>
      </c>
      <c r="E7" s="35">
        <f>TRUNC((E4+E5+E6)*D7,2)</f>
        <v>143.77000000000001</v>
      </c>
    </row>
    <row r="8" spans="1:5" x14ac:dyDescent="0.25">
      <c r="A8" s="33" t="s">
        <v>31</v>
      </c>
      <c r="B8" s="93" t="s">
        <v>101</v>
      </c>
      <c r="C8" s="93"/>
      <c r="D8" s="36">
        <f>superv!C137</f>
        <v>8.6499999999999994E-2</v>
      </c>
      <c r="E8" s="35">
        <f>TRUNC((E4+E5+E6+E7)*D8/(1-D8),2)</f>
        <v>240.51</v>
      </c>
    </row>
    <row r="9" spans="1:5" x14ac:dyDescent="0.25">
      <c r="A9" s="94" t="s">
        <v>122</v>
      </c>
      <c r="B9" s="94"/>
      <c r="C9" s="94"/>
      <c r="D9" s="94"/>
      <c r="E9" s="35">
        <f>SUM(E4:E8)</f>
        <v>2780.4912800000002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12.63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18.940000000000001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25.26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32</v>
      </c>
      <c r="E15" s="35">
        <f>D15*E11</f>
        <v>606.08000000000004</v>
      </c>
    </row>
    <row r="16" spans="1:5" x14ac:dyDescent="0.25">
      <c r="A16" s="33" t="s">
        <v>131</v>
      </c>
      <c r="B16" s="93" t="s">
        <v>132</v>
      </c>
      <c r="C16" s="93"/>
      <c r="D16" s="33">
        <v>64</v>
      </c>
      <c r="E16" s="35">
        <f>D16*E12</f>
        <v>1616.64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2222.7200000000003</v>
      </c>
    </row>
    <row r="18" spans="1:5" x14ac:dyDescent="0.25">
      <c r="A18" s="94" t="s">
        <v>134</v>
      </c>
      <c r="B18" s="94"/>
      <c r="C18" s="94"/>
      <c r="D18" s="94"/>
      <c r="E18" s="33">
        <v>2</v>
      </c>
    </row>
    <row r="19" spans="1:5" x14ac:dyDescent="0.25">
      <c r="A19" s="96" t="s">
        <v>135</v>
      </c>
      <c r="B19" s="96"/>
      <c r="C19" s="96"/>
      <c r="D19" s="96"/>
      <c r="E19" s="37">
        <f>E17*E18</f>
        <v>4445.4400000000005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8</v>
      </c>
      <c r="E21" s="33">
        <v>8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167.68</v>
      </c>
      <c r="E24" s="35">
        <f>SUM(E22:E23)*$E$18*E21</f>
        <v>308.48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8.3800000000000008</v>
      </c>
      <c r="E25" s="35">
        <f>TRUNC((E24)*$C$25,2)</f>
        <v>15.42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10.56</v>
      </c>
      <c r="E26" s="35">
        <f>TRUNC((E24+E25)*$C$26,2)</f>
        <v>19.43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17.670000000000002</v>
      </c>
      <c r="E27" s="35">
        <f>TRUNC((E24+E25+E26)*$C$27/(1-$C$27),2)</f>
        <v>32.51</v>
      </c>
    </row>
    <row r="28" spans="1:5" x14ac:dyDescent="0.25">
      <c r="A28" s="98" t="s">
        <v>147</v>
      </c>
      <c r="B28" s="98"/>
      <c r="C28" s="98"/>
      <c r="D28" s="35">
        <f>SUM(D24:D27)</f>
        <v>204.29000000000002</v>
      </c>
      <c r="E28" s="35">
        <f>SUM(E24:E27)</f>
        <v>375.84000000000003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580.13000000000011</v>
      </c>
    </row>
    <row r="30" spans="1:5" x14ac:dyDescent="0.25">
      <c r="A30" s="96" t="s">
        <v>149</v>
      </c>
      <c r="B30" s="96"/>
      <c r="C30" s="96"/>
      <c r="D30" s="96"/>
      <c r="E30" s="37">
        <f>E19+E29</f>
        <v>5025.5700000000006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view="pageBreakPreview" zoomScaleNormal="100" workbookViewId="0">
      <selection activeCell="D22" sqref="D22"/>
    </sheetView>
  </sheetViews>
  <sheetFormatPr defaultColWidth="9.140625" defaultRowHeight="15" x14ac:dyDescent="0.25"/>
  <cols>
    <col min="1" max="1" width="14.7109375" style="31" customWidth="1"/>
    <col min="2" max="2" width="32.7109375" style="32" customWidth="1"/>
    <col min="3" max="4" width="12.7109375" style="32" customWidth="1"/>
    <col min="5" max="5" width="14.5703125" style="32" customWidth="1"/>
    <col min="6" max="1024" width="9.140625" style="32"/>
  </cols>
  <sheetData>
    <row r="1" spans="1:5" ht="16.5" x14ac:dyDescent="0.25">
      <c r="A1" s="91" t="s">
        <v>119</v>
      </c>
      <c r="B1" s="91"/>
      <c r="C1" s="91"/>
      <c r="D1" s="91"/>
      <c r="E1" s="91"/>
    </row>
    <row r="3" spans="1:5" x14ac:dyDescent="0.25">
      <c r="A3" s="92" t="s">
        <v>118</v>
      </c>
      <c r="B3" s="92"/>
      <c r="C3" s="92"/>
      <c r="D3" s="92"/>
      <c r="E3" s="92"/>
    </row>
    <row r="4" spans="1:5" x14ac:dyDescent="0.25">
      <c r="A4" s="33" t="s">
        <v>2</v>
      </c>
      <c r="B4" s="93" t="s">
        <v>120</v>
      </c>
      <c r="C4" s="93"/>
      <c r="D4" s="93"/>
      <c r="E4" s="35">
        <f>cabturm!D33</f>
        <v>1297.6199999999999</v>
      </c>
    </row>
    <row r="5" spans="1:5" x14ac:dyDescent="0.25">
      <c r="A5" s="33" t="s">
        <v>4</v>
      </c>
      <c r="B5" s="93" t="s">
        <v>121</v>
      </c>
      <c r="C5" s="93"/>
      <c r="D5" s="36">
        <f>cabturm!C57</f>
        <v>0.36800000000000005</v>
      </c>
      <c r="E5" s="35">
        <f>E4*D5</f>
        <v>477.52416000000005</v>
      </c>
    </row>
    <row r="6" spans="1:5" x14ac:dyDescent="0.25">
      <c r="A6" s="33" t="s">
        <v>6</v>
      </c>
      <c r="B6" s="93" t="s">
        <v>99</v>
      </c>
      <c r="C6" s="93"/>
      <c r="D6" s="36">
        <f>cabturm!C135</f>
        <v>0.05</v>
      </c>
      <c r="E6" s="35">
        <f>TRUNC((E4+E5)*D6,2)</f>
        <v>88.75</v>
      </c>
    </row>
    <row r="7" spans="1:5" x14ac:dyDescent="0.25">
      <c r="A7" s="33" t="s">
        <v>8</v>
      </c>
      <c r="B7" s="93" t="s">
        <v>100</v>
      </c>
      <c r="C7" s="93"/>
      <c r="D7" s="36">
        <f>cabturm!C136</f>
        <v>0.06</v>
      </c>
      <c r="E7" s="35">
        <f>TRUNC((E4+E5+E6)*D7,2)</f>
        <v>111.83</v>
      </c>
    </row>
    <row r="8" spans="1:5" x14ac:dyDescent="0.25">
      <c r="A8" s="33" t="s">
        <v>31</v>
      </c>
      <c r="B8" s="93" t="s">
        <v>101</v>
      </c>
      <c r="C8" s="93"/>
      <c r="D8" s="36">
        <f>cabturm!C137</f>
        <v>8.6499999999999994E-2</v>
      </c>
      <c r="E8" s="35">
        <f>TRUNC((E4+E5+E6+E7)*D8/(1-D8),2)</f>
        <v>187.08</v>
      </c>
    </row>
    <row r="9" spans="1:5" x14ac:dyDescent="0.25">
      <c r="A9" s="94" t="s">
        <v>122</v>
      </c>
      <c r="B9" s="94"/>
      <c r="C9" s="94"/>
      <c r="D9" s="94"/>
      <c r="E9" s="35">
        <f>SUM(E4:E8)</f>
        <v>2162.8041599999997</v>
      </c>
    </row>
    <row r="10" spans="1:5" x14ac:dyDescent="0.25">
      <c r="A10" s="33" t="s">
        <v>51</v>
      </c>
      <c r="B10" s="93" t="s">
        <v>123</v>
      </c>
      <c r="C10" s="93"/>
      <c r="D10" s="93"/>
      <c r="E10" s="35">
        <f>TRUNC(E9/220,2)</f>
        <v>9.83</v>
      </c>
    </row>
    <row r="11" spans="1:5" x14ac:dyDescent="0.25">
      <c r="A11" s="33" t="s">
        <v>33</v>
      </c>
      <c r="B11" s="93" t="s">
        <v>124</v>
      </c>
      <c r="C11" s="93"/>
      <c r="D11" s="36">
        <v>0.5</v>
      </c>
      <c r="E11" s="35">
        <f>TRUNC(E10*(1+D11),2)</f>
        <v>14.74</v>
      </c>
    </row>
    <row r="12" spans="1:5" x14ac:dyDescent="0.25">
      <c r="A12" s="33" t="s">
        <v>54</v>
      </c>
      <c r="B12" s="93" t="s">
        <v>124</v>
      </c>
      <c r="C12" s="93"/>
      <c r="D12" s="36">
        <v>1</v>
      </c>
      <c r="E12" s="35">
        <f>TRUNC(E10*(1+D12),2)</f>
        <v>19.66</v>
      </c>
    </row>
    <row r="13" spans="1:5" x14ac:dyDescent="0.25">
      <c r="A13" s="95"/>
      <c r="B13" s="95"/>
      <c r="C13" s="95"/>
      <c r="D13" s="33" t="s">
        <v>125</v>
      </c>
      <c r="E13" s="33" t="s">
        <v>126</v>
      </c>
    </row>
    <row r="14" spans="1:5" x14ac:dyDescent="0.25">
      <c r="A14" s="33" t="s">
        <v>127</v>
      </c>
      <c r="B14" s="93" t="s">
        <v>128</v>
      </c>
      <c r="C14" s="93"/>
      <c r="D14" s="33">
        <v>0</v>
      </c>
      <c r="E14" s="35">
        <f>D14*E11</f>
        <v>0</v>
      </c>
    </row>
    <row r="15" spans="1:5" x14ac:dyDescent="0.25">
      <c r="A15" s="33" t="s">
        <v>129</v>
      </c>
      <c r="B15" s="93" t="s">
        <v>130</v>
      </c>
      <c r="C15" s="93"/>
      <c r="D15" s="33">
        <v>32</v>
      </c>
      <c r="E15" s="35">
        <f>D15*E11</f>
        <v>471.68</v>
      </c>
    </row>
    <row r="16" spans="1:5" x14ac:dyDescent="0.25">
      <c r="A16" s="33" t="s">
        <v>131</v>
      </c>
      <c r="B16" s="93" t="s">
        <v>132</v>
      </c>
      <c r="C16" s="93"/>
      <c r="D16" s="33">
        <v>64</v>
      </c>
      <c r="E16" s="35">
        <f>D16*E12</f>
        <v>1258.24</v>
      </c>
    </row>
    <row r="17" spans="1:5" x14ac:dyDescent="0.25">
      <c r="A17" s="96" t="s">
        <v>133</v>
      </c>
      <c r="B17" s="96"/>
      <c r="C17" s="96"/>
      <c r="D17" s="96"/>
      <c r="E17" s="37">
        <f>SUM(E14:E16)</f>
        <v>1729.92</v>
      </c>
    </row>
    <row r="18" spans="1:5" x14ac:dyDescent="0.25">
      <c r="A18" s="94" t="s">
        <v>134</v>
      </c>
      <c r="B18" s="94"/>
      <c r="C18" s="94"/>
      <c r="D18" s="94"/>
      <c r="E18" s="33">
        <v>1</v>
      </c>
    </row>
    <row r="19" spans="1:5" x14ac:dyDescent="0.25">
      <c r="A19" s="96" t="s">
        <v>135</v>
      </c>
      <c r="B19" s="96"/>
      <c r="C19" s="96"/>
      <c r="D19" s="96"/>
      <c r="E19" s="37">
        <f>E17*E18</f>
        <v>1729.92</v>
      </c>
    </row>
    <row r="20" spans="1:5" x14ac:dyDescent="0.25">
      <c r="A20" s="97" t="s">
        <v>136</v>
      </c>
      <c r="B20" s="97"/>
      <c r="C20" s="97"/>
      <c r="D20" s="33" t="s">
        <v>130</v>
      </c>
      <c r="E20" s="33" t="s">
        <v>137</v>
      </c>
    </row>
    <row r="21" spans="1:5" x14ac:dyDescent="0.25">
      <c r="A21" s="94" t="s">
        <v>138</v>
      </c>
      <c r="B21" s="94"/>
      <c r="C21" s="94"/>
      <c r="D21" s="33">
        <v>8</v>
      </c>
      <c r="E21" s="33">
        <v>8</v>
      </c>
    </row>
    <row r="22" spans="1:5" x14ac:dyDescent="0.25">
      <c r="A22" s="33" t="s">
        <v>139</v>
      </c>
      <c r="B22" s="93" t="s">
        <v>140</v>
      </c>
      <c r="C22" s="93"/>
      <c r="D22" s="35">
        <v>0</v>
      </c>
      <c r="E22" s="35">
        <v>8.8000000000000007</v>
      </c>
    </row>
    <row r="23" spans="1:5" x14ac:dyDescent="0.25">
      <c r="A23" s="33" t="s">
        <v>141</v>
      </c>
      <c r="B23" s="93" t="s">
        <v>142</v>
      </c>
      <c r="C23" s="93"/>
      <c r="D23" s="35">
        <f>13.1*0.8</f>
        <v>10.48</v>
      </c>
      <c r="E23" s="35">
        <f>13.1*0.8</f>
        <v>10.48</v>
      </c>
    </row>
    <row r="24" spans="1:5" x14ac:dyDescent="0.25">
      <c r="A24" s="94" t="s">
        <v>143</v>
      </c>
      <c r="B24" s="94"/>
      <c r="C24" s="94"/>
      <c r="D24" s="35">
        <f>SUM(D22:D23)*$E$18*D21</f>
        <v>83.84</v>
      </c>
      <c r="E24" s="35">
        <f>SUM(E22:E23)*$E$18*E21</f>
        <v>154.24</v>
      </c>
    </row>
    <row r="25" spans="1:5" x14ac:dyDescent="0.25">
      <c r="A25" s="33" t="s">
        <v>144</v>
      </c>
      <c r="B25" s="34" t="s">
        <v>99</v>
      </c>
      <c r="C25" s="36">
        <f>D6</f>
        <v>0.05</v>
      </c>
      <c r="D25" s="35">
        <f>TRUNC((D24)*$C$25,2)</f>
        <v>4.1900000000000004</v>
      </c>
      <c r="E25" s="35">
        <f>TRUNC((E24)*$C$25,2)</f>
        <v>7.71</v>
      </c>
    </row>
    <row r="26" spans="1:5" x14ac:dyDescent="0.25">
      <c r="A26" s="33" t="s">
        <v>145</v>
      </c>
      <c r="B26" s="34" t="s">
        <v>100</v>
      </c>
      <c r="C26" s="36">
        <f>D7</f>
        <v>0.06</v>
      </c>
      <c r="D26" s="35">
        <f>TRUNC((D24+D25)*$C$26,2)</f>
        <v>5.28</v>
      </c>
      <c r="E26" s="35">
        <f>TRUNC((E24+E25)*$C$26,2)</f>
        <v>9.7100000000000009</v>
      </c>
    </row>
    <row r="27" spans="1:5" x14ac:dyDescent="0.25">
      <c r="A27" s="33" t="s">
        <v>146</v>
      </c>
      <c r="B27" s="34" t="s">
        <v>101</v>
      </c>
      <c r="C27" s="36">
        <f>D8</f>
        <v>8.6499999999999994E-2</v>
      </c>
      <c r="D27" s="35">
        <f>TRUNC((D24+D25+D26)*$C$27/(1-$C$27),2)</f>
        <v>8.83</v>
      </c>
      <c r="E27" s="35">
        <f>TRUNC((E24+E25+E26)*$C$27/(1-$C$27),2)</f>
        <v>16.25</v>
      </c>
    </row>
    <row r="28" spans="1:5" x14ac:dyDescent="0.25">
      <c r="A28" s="98" t="s">
        <v>147</v>
      </c>
      <c r="B28" s="98"/>
      <c r="C28" s="98"/>
      <c r="D28" s="35">
        <f>SUM(D24:D27)</f>
        <v>102.14</v>
      </c>
      <c r="E28" s="35">
        <f>SUM(E24:E27)</f>
        <v>187.91000000000003</v>
      </c>
    </row>
    <row r="29" spans="1:5" x14ac:dyDescent="0.25">
      <c r="A29" s="96" t="s">
        <v>148</v>
      </c>
      <c r="B29" s="96"/>
      <c r="C29" s="96"/>
      <c r="D29" s="96"/>
      <c r="E29" s="37">
        <f>SUM(D28:E28)</f>
        <v>290.05</v>
      </c>
    </row>
    <row r="30" spans="1:5" x14ac:dyDescent="0.25">
      <c r="A30" s="96" t="s">
        <v>149</v>
      </c>
      <c r="B30" s="96"/>
      <c r="C30" s="96"/>
      <c r="D30" s="96"/>
      <c r="E30" s="37">
        <f>E19+E29</f>
        <v>2019.97</v>
      </c>
    </row>
  </sheetData>
  <mergeCells count="26">
    <mergeCell ref="A30:D30"/>
    <mergeCell ref="B22:C22"/>
    <mergeCell ref="B23:C23"/>
    <mergeCell ref="A24:C24"/>
    <mergeCell ref="A28:C28"/>
    <mergeCell ref="A29:D29"/>
    <mergeCell ref="A17:D17"/>
    <mergeCell ref="A18:D18"/>
    <mergeCell ref="A19:D19"/>
    <mergeCell ref="A20:C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78749999999999998" right="0.78749999999999998" top="0.78749999999999998" bottom="0.78749999999999998" header="0.51180555555555496" footer="0.51180555555555496"/>
  <pageSetup paperSize="9" scale="97" firstPageNumber="0" orientation="portrait" horizontalDpi="300" verticalDpi="30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21</vt:i4>
      </vt:variant>
    </vt:vector>
  </HeadingPairs>
  <TitlesOfParts>
    <vt:vector size="38" baseType="lpstr">
      <vt:lpstr>serv</vt:lpstr>
      <vt:lpstr>jard</vt:lpstr>
      <vt:lpstr>auxjard</vt:lpstr>
      <vt:lpstr>superv</vt:lpstr>
      <vt:lpstr>cabturm</vt:lpstr>
      <vt:lpstr>servextra</vt:lpstr>
      <vt:lpstr>heserv_agoset</vt:lpstr>
      <vt:lpstr>hesuperv_agoset</vt:lpstr>
      <vt:lpstr>hecabturm_agoset</vt:lpstr>
      <vt:lpstr>heserv_out</vt:lpstr>
      <vt:lpstr>hesuperv_out</vt:lpstr>
      <vt:lpstr>hecabturm_out</vt:lpstr>
      <vt:lpstr>matservente1</vt:lpstr>
      <vt:lpstr>matjard1</vt:lpstr>
      <vt:lpstr>matservente2</vt:lpstr>
      <vt:lpstr>matjard2</vt:lpstr>
      <vt:lpstr>Total</vt:lpstr>
      <vt:lpstr>matjard1!Area_de_impressao</vt:lpstr>
      <vt:lpstr>matjard2!Area_de_impressao</vt:lpstr>
      <vt:lpstr>matservente1!Area_de_impressao</vt:lpstr>
      <vt:lpstr>matservente2!Area_de_impressao</vt:lpstr>
      <vt:lpstr>matjard1!Print_Area_0</vt:lpstr>
      <vt:lpstr>matjard2!Print_Area_0</vt:lpstr>
      <vt:lpstr>matservente1!Print_Area_0</vt:lpstr>
      <vt:lpstr>matservente2!Print_Area_0</vt:lpstr>
      <vt:lpstr>matjard1!Print_Area_0_0</vt:lpstr>
      <vt:lpstr>matjard2!Print_Area_0_0</vt:lpstr>
      <vt:lpstr>matservente1!Print_Area_0_0</vt:lpstr>
      <vt:lpstr>matservente2!Print_Area_0_0</vt:lpstr>
      <vt:lpstr>hecabturm_agoset!Titulos_de_impressao</vt:lpstr>
      <vt:lpstr>hecabturm_out!Titulos_de_impressao</vt:lpstr>
      <vt:lpstr>heserv_agoset!Titulos_de_impressao</vt:lpstr>
      <vt:lpstr>heserv_out!Titulos_de_impressao</vt:lpstr>
      <vt:lpstr>hesuperv_agoset!Titulos_de_impressao</vt:lpstr>
      <vt:lpstr>hesuperv_out!Titulos_de_impressao</vt:lpstr>
      <vt:lpstr>matjard1!Titulos_de_impressao</vt:lpstr>
      <vt:lpstr>matservente1!Titulos_de_impressao</vt:lpstr>
      <vt:lpstr>matservente2!Titulos_de_impressao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28</cp:revision>
  <cp:lastPrinted>2022-02-07T19:16:19Z</cp:lastPrinted>
  <dcterms:created xsi:type="dcterms:W3CDTF">2019-01-29T18:54:26Z</dcterms:created>
  <dcterms:modified xsi:type="dcterms:W3CDTF">2022-06-13T13:43:32Z</dcterms:modified>
  <dc:language>pt-BR</dc:language>
</cp:coreProperties>
</file>