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722" firstSheet="3" activeTab="44"/>
  </bookViews>
  <sheets>
    <sheet name="Item1" sheetId="1" r:id="rId1"/>
    <sheet name="Item2" sheetId="2" r:id="rId2"/>
    <sheet name="Item3" sheetId="3" r:id="rId3"/>
    <sheet name="Item4" sheetId="4" r:id="rId4"/>
    <sheet name="Item5" sheetId="5" r:id="rId5"/>
    <sheet name="Item6" sheetId="6" r:id="rId6"/>
    <sheet name="Item7" sheetId="7" r:id="rId7"/>
    <sheet name="Item8" sheetId="8" r:id="rId8"/>
    <sheet name="Item9" sheetId="9" r:id="rId9"/>
    <sheet name="Item10" sheetId="10" r:id="rId10"/>
    <sheet name="Item11" sheetId="11" r:id="rId11"/>
    <sheet name="Item12" sheetId="12" r:id="rId12"/>
    <sheet name="Item13" sheetId="13" r:id="rId13"/>
    <sheet name="Item14" sheetId="14" r:id="rId14"/>
    <sheet name="Item15" sheetId="15" r:id="rId15"/>
    <sheet name="Item16" sheetId="16" r:id="rId16"/>
    <sheet name="Item17" sheetId="17" r:id="rId17"/>
    <sheet name="Item18" sheetId="18" r:id="rId18"/>
    <sheet name="Item19" sheetId="25" r:id="rId19"/>
    <sheet name="Item20" sheetId="26" r:id="rId20"/>
    <sheet name="Item27" sheetId="27" state="hidden" r:id="rId21"/>
    <sheet name="Item28" sheetId="28" state="hidden" r:id="rId22"/>
    <sheet name="Item29" sheetId="29" state="hidden" r:id="rId23"/>
    <sheet name="Item30" sheetId="30" state="hidden" r:id="rId24"/>
    <sheet name="Item31" sheetId="31" state="hidden" r:id="rId25"/>
    <sheet name="Item32" sheetId="32" state="hidden" r:id="rId26"/>
    <sheet name="Item33" sheetId="33" state="hidden" r:id="rId27"/>
    <sheet name="Item34" sheetId="34" state="hidden" r:id="rId28"/>
    <sheet name="Item35" sheetId="35" state="hidden" r:id="rId29"/>
    <sheet name="Item36" sheetId="36" state="hidden" r:id="rId30"/>
    <sheet name="Item37" sheetId="37" state="hidden" r:id="rId31"/>
    <sheet name="Item38" sheetId="38" state="hidden" r:id="rId32"/>
    <sheet name="Item39" sheetId="39" state="hidden" r:id="rId33"/>
    <sheet name="Item40" sheetId="40" state="hidden" r:id="rId34"/>
    <sheet name="Item41" sheetId="41" state="hidden" r:id="rId35"/>
    <sheet name="Item42" sheetId="42" state="hidden" r:id="rId36"/>
    <sheet name="Item43" sheetId="43" state="hidden" r:id="rId37"/>
    <sheet name="Item44" sheetId="44" state="hidden" r:id="rId38"/>
    <sheet name="Item45" sheetId="45" state="hidden" r:id="rId39"/>
    <sheet name="Item46" sheetId="46" state="hidden" r:id="rId40"/>
    <sheet name="Item47" sheetId="47" state="hidden" r:id="rId41"/>
    <sheet name="Item48" sheetId="48" state="hidden" r:id="rId42"/>
    <sheet name="Item49" sheetId="49" state="hidden" r:id="rId43"/>
    <sheet name="Item50" sheetId="50" state="hidden" r:id="rId44"/>
    <sheet name="TOTAL" sheetId="51" r:id="rId45"/>
  </sheets>
  <definedNames>
    <definedName name="_xlnm.Print_Area" localSheetId="44">TOTAL!$A$1:$G$30</definedName>
    <definedName name="Print_Area_0" localSheetId="44">TOTAL!$A$8:$G$30</definedName>
  </definedNames>
  <calcPr calcId="14562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H4" i="26" l="1"/>
  <c r="H4" i="25"/>
  <c r="H4" i="18"/>
  <c r="H4" i="17"/>
  <c r="H4" i="16"/>
  <c r="H4" i="15"/>
  <c r="H4" i="14"/>
  <c r="H4" i="13"/>
  <c r="H4" i="12"/>
  <c r="H4" i="11"/>
  <c r="H4" i="10"/>
  <c r="H4" i="9"/>
  <c r="H4" i="8"/>
  <c r="H4" i="7"/>
  <c r="H4" i="6"/>
  <c r="H4" i="5"/>
  <c r="H4" i="4"/>
  <c r="H4" i="3"/>
  <c r="H4" i="2"/>
  <c r="H4" i="1"/>
  <c r="C28" i="51" l="1"/>
  <c r="D28" i="51"/>
  <c r="C29" i="51"/>
  <c r="D29" i="51"/>
  <c r="B29" i="51"/>
  <c r="B28" i="51"/>
  <c r="D27" i="51" l="1"/>
  <c r="C27" i="51"/>
  <c r="B27" i="51"/>
  <c r="D26" i="51"/>
  <c r="C26" i="51"/>
  <c r="B26" i="51"/>
  <c r="C25" i="51"/>
  <c r="B25" i="51"/>
  <c r="D24" i="51"/>
  <c r="C24" i="51"/>
  <c r="B24" i="51"/>
  <c r="D23" i="51"/>
  <c r="C23" i="51"/>
  <c r="B23" i="51"/>
  <c r="D22" i="51"/>
  <c r="C22" i="51"/>
  <c r="B22" i="51"/>
  <c r="D21" i="51"/>
  <c r="C21" i="51"/>
  <c r="B21" i="51"/>
  <c r="C20" i="51"/>
  <c r="B20" i="51"/>
  <c r="D19" i="51"/>
  <c r="C19" i="51"/>
  <c r="B19" i="51"/>
  <c r="D18" i="51"/>
  <c r="C18" i="51"/>
  <c r="B18" i="51"/>
  <c r="D17" i="51"/>
  <c r="C17" i="51"/>
  <c r="B17" i="51"/>
  <c r="C16" i="51"/>
  <c r="B16" i="51"/>
  <c r="C15" i="51"/>
  <c r="B15" i="51"/>
  <c r="C14" i="51"/>
  <c r="B14" i="51"/>
  <c r="D13" i="51"/>
  <c r="C13" i="51"/>
  <c r="B13" i="51"/>
  <c r="D12" i="51"/>
  <c r="C12" i="51"/>
  <c r="B12" i="51"/>
  <c r="D11" i="51"/>
  <c r="C11" i="51"/>
  <c r="B11" i="51"/>
  <c r="C10" i="51"/>
  <c r="B10" i="51"/>
  <c r="H20" i="50"/>
  <c r="G20" i="50" s="1"/>
  <c r="F20" i="50"/>
  <c r="D20" i="50"/>
  <c r="B20" i="50"/>
  <c r="I17" i="50"/>
  <c r="I16" i="50"/>
  <c r="I15" i="50"/>
  <c r="I14" i="50"/>
  <c r="I13" i="50"/>
  <c r="I12" i="50"/>
  <c r="I11" i="50"/>
  <c r="I10" i="50"/>
  <c r="I9" i="50"/>
  <c r="I8" i="50"/>
  <c r="I7" i="50"/>
  <c r="I6" i="50"/>
  <c r="F3" i="50"/>
  <c r="H20" i="49"/>
  <c r="G20" i="49"/>
  <c r="F20" i="49"/>
  <c r="D20" i="49"/>
  <c r="B20" i="49"/>
  <c r="A20" i="49"/>
  <c r="C20" i="49" s="1"/>
  <c r="I17" i="49"/>
  <c r="I16" i="49"/>
  <c r="I15" i="49"/>
  <c r="I14" i="49"/>
  <c r="I13" i="49"/>
  <c r="I12" i="49"/>
  <c r="I11" i="49"/>
  <c r="I10" i="49"/>
  <c r="I9" i="49"/>
  <c r="I8" i="49"/>
  <c r="I7" i="49"/>
  <c r="I6" i="49"/>
  <c r="F3" i="49"/>
  <c r="H20" i="48"/>
  <c r="G20" i="48" s="1"/>
  <c r="F20" i="48"/>
  <c r="D20" i="48"/>
  <c r="B20" i="48"/>
  <c r="I17" i="48"/>
  <c r="I16" i="48"/>
  <c r="I15" i="48"/>
  <c r="I14" i="48"/>
  <c r="I13" i="48"/>
  <c r="I12" i="48"/>
  <c r="I11" i="48"/>
  <c r="I10" i="48"/>
  <c r="I9" i="48"/>
  <c r="I8" i="48"/>
  <c r="I7" i="48"/>
  <c r="I6" i="48"/>
  <c r="F3" i="48"/>
  <c r="H20" i="47"/>
  <c r="G20" i="47"/>
  <c r="F20" i="47"/>
  <c r="D20" i="47"/>
  <c r="B20" i="47"/>
  <c r="A20" i="47"/>
  <c r="C20" i="47" s="1"/>
  <c r="I17" i="47"/>
  <c r="I16" i="47"/>
  <c r="I15" i="47"/>
  <c r="I14" i="47"/>
  <c r="I13" i="47"/>
  <c r="I12" i="47"/>
  <c r="I11" i="47"/>
  <c r="I10" i="47"/>
  <c r="I9" i="47"/>
  <c r="I8" i="47"/>
  <c r="I7" i="47"/>
  <c r="I6" i="47"/>
  <c r="F3" i="47"/>
  <c r="H20" i="46"/>
  <c r="G20" i="46" s="1"/>
  <c r="F20" i="46"/>
  <c r="D20" i="46"/>
  <c r="B20" i="46"/>
  <c r="I17" i="46"/>
  <c r="I16" i="46"/>
  <c r="I15" i="46"/>
  <c r="I14" i="46"/>
  <c r="I13" i="46"/>
  <c r="I12" i="46"/>
  <c r="I11" i="46"/>
  <c r="I10" i="46"/>
  <c r="I9" i="46"/>
  <c r="I8" i="46"/>
  <c r="I7" i="46"/>
  <c r="I6" i="46"/>
  <c r="F3" i="46"/>
  <c r="H20" i="45"/>
  <c r="G20" i="45"/>
  <c r="F20" i="45"/>
  <c r="D20" i="45"/>
  <c r="B20" i="45"/>
  <c r="A20" i="45"/>
  <c r="C20" i="45" s="1"/>
  <c r="I17" i="45"/>
  <c r="I16" i="45"/>
  <c r="I15" i="45"/>
  <c r="I14" i="45"/>
  <c r="I13" i="45"/>
  <c r="I12" i="45"/>
  <c r="I11" i="45"/>
  <c r="I10" i="45"/>
  <c r="I9" i="45"/>
  <c r="I8" i="45"/>
  <c r="I7" i="45"/>
  <c r="I6" i="45"/>
  <c r="F3" i="45"/>
  <c r="H20" i="44"/>
  <c r="G20" i="44" s="1"/>
  <c r="F20" i="44"/>
  <c r="D20" i="44"/>
  <c r="B20" i="44"/>
  <c r="I17" i="44"/>
  <c r="I16" i="44"/>
  <c r="I15" i="44"/>
  <c r="I14" i="44"/>
  <c r="I13" i="44"/>
  <c r="I12" i="44"/>
  <c r="I11" i="44"/>
  <c r="I10" i="44"/>
  <c r="I9" i="44"/>
  <c r="I8" i="44"/>
  <c r="I7" i="44"/>
  <c r="I6" i="44"/>
  <c r="F3" i="44"/>
  <c r="H20" i="43"/>
  <c r="G20" i="43"/>
  <c r="F20" i="43"/>
  <c r="D20" i="43"/>
  <c r="B20" i="43"/>
  <c r="A20" i="43"/>
  <c r="C20" i="43" s="1"/>
  <c r="I17" i="43"/>
  <c r="I16" i="43"/>
  <c r="I15" i="43"/>
  <c r="I14" i="43"/>
  <c r="I13" i="43"/>
  <c r="I12" i="43"/>
  <c r="I11" i="43"/>
  <c r="I10" i="43"/>
  <c r="I9" i="43"/>
  <c r="I8" i="43"/>
  <c r="I7" i="43"/>
  <c r="I6" i="43"/>
  <c r="F3" i="43"/>
  <c r="H20" i="42"/>
  <c r="G20" i="42" s="1"/>
  <c r="F20" i="42"/>
  <c r="D20" i="42"/>
  <c r="B20" i="42"/>
  <c r="I17" i="42"/>
  <c r="I16" i="42"/>
  <c r="I15" i="42"/>
  <c r="I14" i="42"/>
  <c r="I13" i="42"/>
  <c r="I12" i="42"/>
  <c r="I11" i="42"/>
  <c r="I10" i="42"/>
  <c r="I9" i="42"/>
  <c r="I8" i="42"/>
  <c r="I7" i="42"/>
  <c r="I6" i="42"/>
  <c r="F3" i="42"/>
  <c r="H20" i="41"/>
  <c r="G20" i="41"/>
  <c r="F20" i="41"/>
  <c r="D20" i="41"/>
  <c r="B20" i="41"/>
  <c r="A20" i="41"/>
  <c r="C20" i="41" s="1"/>
  <c r="I17" i="41"/>
  <c r="I16" i="41"/>
  <c r="I15" i="41"/>
  <c r="I14" i="41"/>
  <c r="I13" i="41"/>
  <c r="I12" i="41"/>
  <c r="I11" i="41"/>
  <c r="I10" i="41"/>
  <c r="I9" i="41"/>
  <c r="I8" i="41"/>
  <c r="I7" i="41"/>
  <c r="I6" i="41"/>
  <c r="F3" i="41"/>
  <c r="H20" i="40"/>
  <c r="G20" i="40" s="1"/>
  <c r="F20" i="40"/>
  <c r="D20" i="40"/>
  <c r="B20" i="40"/>
  <c r="I17" i="40"/>
  <c r="I16" i="40"/>
  <c r="I15" i="40"/>
  <c r="I14" i="40"/>
  <c r="I13" i="40"/>
  <c r="I12" i="40"/>
  <c r="I11" i="40"/>
  <c r="I10" i="40"/>
  <c r="I9" i="40"/>
  <c r="I8" i="40"/>
  <c r="I7" i="40"/>
  <c r="I6" i="40"/>
  <c r="F3" i="40"/>
  <c r="H20" i="39"/>
  <c r="G20" i="39"/>
  <c r="F20" i="39"/>
  <c r="D20" i="39"/>
  <c r="B20" i="39"/>
  <c r="A20" i="39"/>
  <c r="C20" i="39" s="1"/>
  <c r="I17" i="39"/>
  <c r="I16" i="39"/>
  <c r="I15" i="39"/>
  <c r="I14" i="39"/>
  <c r="I13" i="39"/>
  <c r="I12" i="39"/>
  <c r="I11" i="39"/>
  <c r="I10" i="39"/>
  <c r="I9" i="39"/>
  <c r="I8" i="39"/>
  <c r="I7" i="39"/>
  <c r="I6" i="39"/>
  <c r="F3" i="39"/>
  <c r="H20" i="38"/>
  <c r="G20" i="38"/>
  <c r="F20" i="38"/>
  <c r="D20" i="38"/>
  <c r="C20" i="38" s="1"/>
  <c r="B20" i="38"/>
  <c r="A20" i="38"/>
  <c r="I17" i="38"/>
  <c r="I16" i="38"/>
  <c r="I15" i="38"/>
  <c r="I14" i="38"/>
  <c r="I13" i="38"/>
  <c r="I12" i="38"/>
  <c r="I11" i="38"/>
  <c r="I10" i="38"/>
  <c r="I9" i="38"/>
  <c r="I8" i="38"/>
  <c r="I7" i="38"/>
  <c r="I6" i="38"/>
  <c r="F3" i="38"/>
  <c r="H20" i="37"/>
  <c r="G20" i="37"/>
  <c r="F20" i="37"/>
  <c r="D20" i="37"/>
  <c r="B20" i="37"/>
  <c r="A20" i="37"/>
  <c r="C20" i="37" s="1"/>
  <c r="I17" i="37"/>
  <c r="I16" i="37"/>
  <c r="I15" i="37"/>
  <c r="I14" i="37"/>
  <c r="I13" i="37"/>
  <c r="I12" i="37"/>
  <c r="I11" i="37"/>
  <c r="I10" i="37"/>
  <c r="I9" i="37"/>
  <c r="I8" i="37"/>
  <c r="I7" i="37"/>
  <c r="I6" i="37"/>
  <c r="F3" i="37"/>
  <c r="H20" i="36"/>
  <c r="G20" i="36"/>
  <c r="F20" i="36"/>
  <c r="D20" i="36"/>
  <c r="C20" i="36" s="1"/>
  <c r="B20" i="36"/>
  <c r="A20" i="36"/>
  <c r="I17" i="36"/>
  <c r="I16" i="36"/>
  <c r="I15" i="36"/>
  <c r="I14" i="36"/>
  <c r="I13" i="36"/>
  <c r="I12" i="36"/>
  <c r="I11" i="36"/>
  <c r="I10" i="36"/>
  <c r="I9" i="36"/>
  <c r="I8" i="36"/>
  <c r="I7" i="36"/>
  <c r="I6" i="36"/>
  <c r="F3" i="36"/>
  <c r="H20" i="35"/>
  <c r="G20" i="35"/>
  <c r="F20" i="35"/>
  <c r="D20" i="35"/>
  <c r="B20" i="35"/>
  <c r="A20" i="35"/>
  <c r="C20" i="35" s="1"/>
  <c r="I17" i="35"/>
  <c r="I16" i="35"/>
  <c r="I15" i="35"/>
  <c r="I14" i="35"/>
  <c r="I13" i="35"/>
  <c r="I12" i="35"/>
  <c r="I11" i="35"/>
  <c r="I10" i="35"/>
  <c r="I9" i="35"/>
  <c r="I8" i="35"/>
  <c r="I7" i="35"/>
  <c r="I6" i="35"/>
  <c r="F3" i="35"/>
  <c r="H20" i="34"/>
  <c r="G20" i="34"/>
  <c r="F20" i="34"/>
  <c r="D20" i="34"/>
  <c r="C20" i="34" s="1"/>
  <c r="B20" i="34"/>
  <c r="A20" i="34"/>
  <c r="I17" i="34"/>
  <c r="I16" i="34"/>
  <c r="I15" i="34"/>
  <c r="I14" i="34"/>
  <c r="I13" i="34"/>
  <c r="I12" i="34"/>
  <c r="I11" i="34"/>
  <c r="I10" i="34"/>
  <c r="I9" i="34"/>
  <c r="I8" i="34"/>
  <c r="I7" i="34"/>
  <c r="I6" i="34"/>
  <c r="F3" i="34"/>
  <c r="H20" i="33"/>
  <c r="G20" i="33"/>
  <c r="F20" i="33"/>
  <c r="D20" i="33"/>
  <c r="B20" i="33"/>
  <c r="A20" i="33"/>
  <c r="C20" i="33" s="1"/>
  <c r="I17" i="33"/>
  <c r="I16" i="33"/>
  <c r="I15" i="33"/>
  <c r="I14" i="33"/>
  <c r="I13" i="33"/>
  <c r="I12" i="33"/>
  <c r="I11" i="33"/>
  <c r="I10" i="33"/>
  <c r="I9" i="33"/>
  <c r="I8" i="33"/>
  <c r="I7" i="33"/>
  <c r="I6" i="33"/>
  <c r="F3" i="33"/>
  <c r="H20" i="32"/>
  <c r="G20" i="32"/>
  <c r="F20" i="32"/>
  <c r="D20" i="32"/>
  <c r="C20" i="32" s="1"/>
  <c r="B20" i="32"/>
  <c r="A20" i="32"/>
  <c r="I17" i="32"/>
  <c r="I16" i="32"/>
  <c r="I15" i="32"/>
  <c r="I14" i="32"/>
  <c r="I13" i="32"/>
  <c r="I12" i="32"/>
  <c r="I11" i="32"/>
  <c r="I10" i="32"/>
  <c r="I9" i="32"/>
  <c r="I8" i="32"/>
  <c r="I7" i="32"/>
  <c r="I6" i="32"/>
  <c r="F3" i="32"/>
  <c r="H20" i="31"/>
  <c r="G20" i="31"/>
  <c r="F20" i="31"/>
  <c r="D20" i="31"/>
  <c r="B20" i="31"/>
  <c r="A20" i="31"/>
  <c r="C20" i="31" s="1"/>
  <c r="I17" i="31"/>
  <c r="I16" i="31"/>
  <c r="I15" i="31"/>
  <c r="I14" i="31"/>
  <c r="I13" i="31"/>
  <c r="I12" i="31"/>
  <c r="I11" i="31"/>
  <c r="I10" i="31"/>
  <c r="I9" i="31"/>
  <c r="I8" i="31"/>
  <c r="I7" i="31"/>
  <c r="I6" i="31"/>
  <c r="F3" i="31"/>
  <c r="H20" i="30"/>
  <c r="G20" i="30"/>
  <c r="F20" i="30"/>
  <c r="D20" i="30"/>
  <c r="C20" i="30" s="1"/>
  <c r="B20" i="30"/>
  <c r="A20" i="30"/>
  <c r="I17" i="30"/>
  <c r="I16" i="30"/>
  <c r="I15" i="30"/>
  <c r="I14" i="30"/>
  <c r="I13" i="30"/>
  <c r="I12" i="30"/>
  <c r="I11" i="30"/>
  <c r="I10" i="30"/>
  <c r="I9" i="30"/>
  <c r="I8" i="30"/>
  <c r="I7" i="30"/>
  <c r="I6" i="30"/>
  <c r="F3" i="30"/>
  <c r="H20" i="29"/>
  <c r="G20" i="29"/>
  <c r="F20" i="29"/>
  <c r="D20" i="29"/>
  <c r="B20" i="29"/>
  <c r="A20" i="29"/>
  <c r="C20" i="29" s="1"/>
  <c r="I17" i="29"/>
  <c r="I16" i="29"/>
  <c r="I15" i="29"/>
  <c r="I14" i="29"/>
  <c r="I13" i="29"/>
  <c r="I12" i="29"/>
  <c r="I11" i="29"/>
  <c r="I10" i="29"/>
  <c r="I9" i="29"/>
  <c r="I8" i="29"/>
  <c r="I7" i="29"/>
  <c r="I6" i="29"/>
  <c r="F3" i="29"/>
  <c r="H20" i="28"/>
  <c r="G20" i="28"/>
  <c r="F20" i="28"/>
  <c r="D20" i="28"/>
  <c r="C20" i="28" s="1"/>
  <c r="B20" i="28"/>
  <c r="A20" i="28"/>
  <c r="I17" i="28"/>
  <c r="I16" i="28"/>
  <c r="I15" i="28"/>
  <c r="I14" i="28"/>
  <c r="I13" i="28"/>
  <c r="I12" i="28"/>
  <c r="I11" i="28"/>
  <c r="I10" i="28"/>
  <c r="I9" i="28"/>
  <c r="I8" i="28"/>
  <c r="I7" i="28"/>
  <c r="I6" i="28"/>
  <c r="F3" i="28"/>
  <c r="H20" i="27"/>
  <c r="G20" i="27"/>
  <c r="F20" i="27"/>
  <c r="D20" i="27"/>
  <c r="B20" i="27"/>
  <c r="A20" i="27"/>
  <c r="C20" i="27" s="1"/>
  <c r="I17" i="27"/>
  <c r="I16" i="27"/>
  <c r="I15" i="27"/>
  <c r="I14" i="27"/>
  <c r="I13" i="27"/>
  <c r="I12" i="27"/>
  <c r="I11" i="27"/>
  <c r="I10" i="27"/>
  <c r="I9" i="27"/>
  <c r="I8" i="27"/>
  <c r="I7" i="27"/>
  <c r="I6" i="27"/>
  <c r="F3" i="27"/>
  <c r="H20" i="26"/>
  <c r="G20" i="26" s="1"/>
  <c r="F20" i="26"/>
  <c r="D20" i="26"/>
  <c r="B20" i="26"/>
  <c r="A20" i="26" s="1"/>
  <c r="I17" i="26"/>
  <c r="I16" i="26"/>
  <c r="I15" i="26"/>
  <c r="I14" i="26"/>
  <c r="I13" i="26"/>
  <c r="I12" i="26"/>
  <c r="I11" i="26"/>
  <c r="I10" i="26"/>
  <c r="I9" i="26"/>
  <c r="I8" i="26"/>
  <c r="I7" i="26"/>
  <c r="I6" i="26"/>
  <c r="F3" i="26"/>
  <c r="H20" i="25"/>
  <c r="G20" i="25" s="1"/>
  <c r="F20" i="25"/>
  <c r="D20" i="25"/>
  <c r="B20" i="25"/>
  <c r="A20" i="25" s="1"/>
  <c r="I17" i="25"/>
  <c r="I16" i="25"/>
  <c r="I15" i="25"/>
  <c r="I14" i="25"/>
  <c r="I13" i="25"/>
  <c r="I12" i="25"/>
  <c r="I11" i="25"/>
  <c r="I10" i="25"/>
  <c r="I9" i="25"/>
  <c r="I8" i="25"/>
  <c r="I7" i="25"/>
  <c r="I6" i="25"/>
  <c r="F3" i="25"/>
  <c r="H20" i="18"/>
  <c r="G20" i="18" s="1"/>
  <c r="F20" i="18"/>
  <c r="D20" i="18"/>
  <c r="B20" i="18"/>
  <c r="A20" i="18" s="1"/>
  <c r="C20" i="18" s="1"/>
  <c r="I4" i="18" s="1"/>
  <c r="I17" i="18"/>
  <c r="I16" i="18"/>
  <c r="I15" i="18"/>
  <c r="I14" i="18"/>
  <c r="I10" i="18"/>
  <c r="F3" i="18"/>
  <c r="H20" i="17"/>
  <c r="G20" i="17" s="1"/>
  <c r="F20" i="17"/>
  <c r="D20" i="17"/>
  <c r="B20" i="17"/>
  <c r="I17" i="17"/>
  <c r="I16" i="17"/>
  <c r="I15" i="17"/>
  <c r="I14" i="17"/>
  <c r="I13" i="17"/>
  <c r="I12" i="17"/>
  <c r="I11" i="17"/>
  <c r="I10" i="17"/>
  <c r="I9" i="17"/>
  <c r="I8" i="17"/>
  <c r="I7" i="17"/>
  <c r="F3" i="17"/>
  <c r="H20" i="16"/>
  <c r="G20" i="16" s="1"/>
  <c r="F20" i="16"/>
  <c r="D20" i="16"/>
  <c r="B20" i="16"/>
  <c r="A20" i="16" s="1"/>
  <c r="I17" i="16"/>
  <c r="I16" i="16"/>
  <c r="I15" i="16"/>
  <c r="I14" i="16"/>
  <c r="I13" i="16"/>
  <c r="I12" i="16"/>
  <c r="I11" i="16"/>
  <c r="I10" i="16"/>
  <c r="I9" i="16"/>
  <c r="I8" i="16"/>
  <c r="I7" i="16"/>
  <c r="I6" i="16"/>
  <c r="F3" i="16"/>
  <c r="D25" i="51"/>
  <c r="H20" i="15"/>
  <c r="G20" i="15" s="1"/>
  <c r="F20" i="15"/>
  <c r="D20" i="15"/>
  <c r="B20" i="15"/>
  <c r="I17" i="15"/>
  <c r="I16" i="15"/>
  <c r="I15" i="15"/>
  <c r="I14" i="15"/>
  <c r="I13" i="15"/>
  <c r="I12" i="15"/>
  <c r="I11" i="15"/>
  <c r="I10" i="15"/>
  <c r="I9" i="15"/>
  <c r="I8" i="15"/>
  <c r="I7" i="15"/>
  <c r="F3" i="15"/>
  <c r="H20" i="14"/>
  <c r="G20" i="14" s="1"/>
  <c r="F20" i="14"/>
  <c r="D20" i="14"/>
  <c r="B20" i="14"/>
  <c r="A20" i="14" s="1"/>
  <c r="I17" i="14"/>
  <c r="I16" i="14"/>
  <c r="I15" i="14"/>
  <c r="I14" i="14"/>
  <c r="I13" i="14"/>
  <c r="I11" i="14"/>
  <c r="F3" i="14"/>
  <c r="H20" i="13"/>
  <c r="G20" i="13" s="1"/>
  <c r="F20" i="13"/>
  <c r="D20" i="13"/>
  <c r="B20" i="13"/>
  <c r="I17" i="13"/>
  <c r="I16" i="13"/>
  <c r="I15" i="13"/>
  <c r="I14" i="13"/>
  <c r="I13" i="13"/>
  <c r="I12" i="13"/>
  <c r="I11" i="13"/>
  <c r="I10" i="13"/>
  <c r="I9" i="13"/>
  <c r="I8" i="13"/>
  <c r="F3" i="13"/>
  <c r="H20" i="12"/>
  <c r="G20" i="12" s="1"/>
  <c r="F20" i="12"/>
  <c r="D20" i="12"/>
  <c r="B20" i="12"/>
  <c r="A20" i="12" s="1"/>
  <c r="I17" i="12"/>
  <c r="I16" i="12"/>
  <c r="I15" i="12"/>
  <c r="I14" i="12"/>
  <c r="I13" i="12"/>
  <c r="I12" i="12"/>
  <c r="I11" i="12"/>
  <c r="I10" i="12"/>
  <c r="I9" i="12"/>
  <c r="I8" i="12"/>
  <c r="I7" i="12"/>
  <c r="F3" i="12"/>
  <c r="H20" i="11"/>
  <c r="G20" i="11" s="1"/>
  <c r="F20" i="11"/>
  <c r="D20" i="11"/>
  <c r="B20" i="11"/>
  <c r="I17" i="11"/>
  <c r="I16" i="11"/>
  <c r="I15" i="11"/>
  <c r="I14" i="11"/>
  <c r="I13" i="11"/>
  <c r="I12" i="11"/>
  <c r="I11" i="11"/>
  <c r="I10" i="11"/>
  <c r="I9" i="11"/>
  <c r="I8" i="11"/>
  <c r="I7" i="11"/>
  <c r="I6" i="11"/>
  <c r="F3" i="11"/>
  <c r="D20" i="51"/>
  <c r="H20" i="10"/>
  <c r="G20" i="10" s="1"/>
  <c r="F20" i="10"/>
  <c r="D20" i="10"/>
  <c r="B20" i="10"/>
  <c r="A20" i="10" s="1"/>
  <c r="I17" i="10"/>
  <c r="I16" i="10"/>
  <c r="I15" i="10"/>
  <c r="I14" i="10"/>
  <c r="I13" i="10"/>
  <c r="I12" i="10"/>
  <c r="I11" i="10"/>
  <c r="I10" i="10"/>
  <c r="I9" i="10"/>
  <c r="I8" i="10"/>
  <c r="I7" i="10"/>
  <c r="F3" i="10"/>
  <c r="H20" i="9"/>
  <c r="G20" i="9" s="1"/>
  <c r="F20" i="9"/>
  <c r="D20" i="9"/>
  <c r="B20" i="9"/>
  <c r="A20" i="9" s="1"/>
  <c r="I17" i="9"/>
  <c r="I16" i="9"/>
  <c r="I15" i="9"/>
  <c r="I14" i="9"/>
  <c r="I13" i="9"/>
  <c r="I12" i="9"/>
  <c r="F3" i="9"/>
  <c r="H20" i="8"/>
  <c r="G20" i="8" s="1"/>
  <c r="F20" i="8"/>
  <c r="D20" i="8"/>
  <c r="B20" i="8"/>
  <c r="A20" i="8" s="1"/>
  <c r="I17" i="8"/>
  <c r="I16" i="8"/>
  <c r="I15" i="8"/>
  <c r="I14" i="8"/>
  <c r="I13" i="8"/>
  <c r="I12" i="8"/>
  <c r="I11" i="8"/>
  <c r="I10" i="8"/>
  <c r="I9" i="8"/>
  <c r="I8" i="8"/>
  <c r="I7" i="8"/>
  <c r="I6" i="8"/>
  <c r="F3" i="8"/>
  <c r="H20" i="7"/>
  <c r="G20" i="7" s="1"/>
  <c r="F20" i="7"/>
  <c r="D20" i="7"/>
  <c r="B20" i="7"/>
  <c r="A20" i="7" s="1"/>
  <c r="I17" i="7"/>
  <c r="I16" i="7"/>
  <c r="I15" i="7"/>
  <c r="I14" i="7"/>
  <c r="I13" i="7"/>
  <c r="I12" i="7"/>
  <c r="I11" i="7"/>
  <c r="I10" i="7"/>
  <c r="I9" i="7"/>
  <c r="I8" i="7"/>
  <c r="I7" i="7"/>
  <c r="F3" i="7"/>
  <c r="D16" i="51"/>
  <c r="H20" i="6"/>
  <c r="G20" i="6" s="1"/>
  <c r="F20" i="6"/>
  <c r="D20" i="6"/>
  <c r="B20" i="6"/>
  <c r="I17" i="6"/>
  <c r="I16" i="6"/>
  <c r="I15" i="6"/>
  <c r="I14" i="6"/>
  <c r="I13" i="6"/>
  <c r="I12" i="6"/>
  <c r="I11" i="6"/>
  <c r="I10" i="6"/>
  <c r="I9" i="6"/>
  <c r="F3" i="6"/>
  <c r="D15" i="51"/>
  <c r="H20" i="5"/>
  <c r="G20" i="5" s="1"/>
  <c r="F20" i="5"/>
  <c r="D20" i="5"/>
  <c r="B20" i="5"/>
  <c r="A20" i="5" s="1"/>
  <c r="I17" i="5"/>
  <c r="I16" i="5"/>
  <c r="I15" i="5"/>
  <c r="I14" i="5"/>
  <c r="I13" i="5"/>
  <c r="I12" i="5"/>
  <c r="I11" i="5"/>
  <c r="F3" i="5"/>
  <c r="D14" i="51"/>
  <c r="H20" i="4"/>
  <c r="G20" i="4" s="1"/>
  <c r="F20" i="4"/>
  <c r="D20" i="4"/>
  <c r="B20" i="4"/>
  <c r="A20" i="4" s="1"/>
  <c r="I17" i="4"/>
  <c r="I16" i="4"/>
  <c r="I15" i="4"/>
  <c r="I14" i="4"/>
  <c r="I13" i="4"/>
  <c r="I12" i="4"/>
  <c r="I11" i="4"/>
  <c r="I10" i="4"/>
  <c r="I9" i="4"/>
  <c r="I8" i="4"/>
  <c r="F3" i="4"/>
  <c r="H20" i="3"/>
  <c r="G20" i="3" s="1"/>
  <c r="F20" i="3"/>
  <c r="D20" i="3"/>
  <c r="B20" i="3"/>
  <c r="A20" i="3" s="1"/>
  <c r="I17" i="3"/>
  <c r="I16" i="3"/>
  <c r="I15" i="3"/>
  <c r="I14" i="3"/>
  <c r="I13" i="3"/>
  <c r="I12" i="3"/>
  <c r="I11" i="3"/>
  <c r="I10" i="3"/>
  <c r="I9" i="3"/>
  <c r="F3" i="3"/>
  <c r="H20" i="2"/>
  <c r="G20" i="2" s="1"/>
  <c r="F20" i="2"/>
  <c r="D20" i="2"/>
  <c r="B20" i="2"/>
  <c r="A20" i="2" s="1"/>
  <c r="I17" i="2"/>
  <c r="I16" i="2"/>
  <c r="I15" i="2"/>
  <c r="I14" i="2"/>
  <c r="I13" i="2"/>
  <c r="I12" i="2"/>
  <c r="I11" i="2"/>
  <c r="I10" i="2"/>
  <c r="I9" i="2"/>
  <c r="I8" i="2"/>
  <c r="F3" i="2"/>
  <c r="H20" i="1"/>
  <c r="G20" i="1" s="1"/>
  <c r="F20" i="1"/>
  <c r="D20" i="1"/>
  <c r="B20" i="1"/>
  <c r="A20" i="1" s="1"/>
  <c r="I17" i="1"/>
  <c r="I16" i="1"/>
  <c r="I15" i="1"/>
  <c r="I14" i="1"/>
  <c r="I13" i="1"/>
  <c r="I12" i="1"/>
  <c r="I11" i="1"/>
  <c r="I10" i="1"/>
  <c r="I9" i="1"/>
  <c r="I8" i="1"/>
  <c r="I7" i="1"/>
  <c r="F3" i="1"/>
  <c r="D10" i="51"/>
  <c r="C20" i="14" l="1"/>
  <c r="I4" i="14" s="1"/>
  <c r="C20" i="7"/>
  <c r="I5" i="7" s="1"/>
  <c r="C20" i="12"/>
  <c r="I3" i="12" s="1"/>
  <c r="C20" i="25"/>
  <c r="I3" i="25" s="1"/>
  <c r="C20" i="5"/>
  <c r="I3" i="5" s="1"/>
  <c r="C20" i="26"/>
  <c r="I3" i="26" s="1"/>
  <c r="C20" i="1"/>
  <c r="I3" i="1" s="1"/>
  <c r="C20" i="16"/>
  <c r="C20" i="3"/>
  <c r="I3" i="3" s="1"/>
  <c r="C20" i="9"/>
  <c r="I4" i="9" s="1"/>
  <c r="I6" i="7"/>
  <c r="I8" i="5"/>
  <c r="I7" i="5"/>
  <c r="I6" i="5"/>
  <c r="I9" i="5"/>
  <c r="I10" i="5"/>
  <c r="I6" i="1"/>
  <c r="I8" i="3"/>
  <c r="I7" i="3"/>
  <c r="I6" i="3"/>
  <c r="I6" i="9"/>
  <c r="I11" i="9"/>
  <c r="I10" i="9"/>
  <c r="I9" i="9"/>
  <c r="I7" i="9"/>
  <c r="I8" i="9"/>
  <c r="A20" i="13"/>
  <c r="C20" i="13" s="1"/>
  <c r="A20" i="15"/>
  <c r="C20" i="15" s="1"/>
  <c r="A20" i="17"/>
  <c r="C20" i="17" s="1"/>
  <c r="I4" i="30"/>
  <c r="I3" i="30"/>
  <c r="E20" i="30" s="1"/>
  <c r="I5" i="30"/>
  <c r="I4" i="36"/>
  <c r="I3" i="36"/>
  <c r="E20" i="36" s="1"/>
  <c r="I5" i="36"/>
  <c r="C20" i="2"/>
  <c r="C20" i="4"/>
  <c r="A20" i="6"/>
  <c r="C20" i="6" s="1"/>
  <c r="I5" i="27"/>
  <c r="I4" i="27"/>
  <c r="I3" i="27"/>
  <c r="E20" i="27" s="1"/>
  <c r="I5" i="33"/>
  <c r="I4" i="33"/>
  <c r="I3" i="33"/>
  <c r="I5" i="39"/>
  <c r="I4" i="39"/>
  <c r="I3" i="39"/>
  <c r="I5" i="41"/>
  <c r="E20" i="41" s="1"/>
  <c r="I4" i="41"/>
  <c r="I3" i="41"/>
  <c r="I5" i="43"/>
  <c r="I4" i="43"/>
  <c r="E20" i="43" s="1"/>
  <c r="I3" i="43"/>
  <c r="I5" i="45"/>
  <c r="I4" i="45"/>
  <c r="I3" i="45"/>
  <c r="E20" i="45" s="1"/>
  <c r="I5" i="47"/>
  <c r="I4" i="47"/>
  <c r="I3" i="47"/>
  <c r="E20" i="47" s="1"/>
  <c r="I5" i="49"/>
  <c r="I4" i="49"/>
  <c r="I3" i="49"/>
  <c r="E20" i="49" s="1"/>
  <c r="C20" i="8"/>
  <c r="E20" i="32"/>
  <c r="H22" i="32" s="1"/>
  <c r="H23" i="32" s="1"/>
  <c r="I4" i="32"/>
  <c r="I3" i="32"/>
  <c r="I5" i="32"/>
  <c r="E20" i="33"/>
  <c r="H22" i="33" s="1"/>
  <c r="H23" i="33" s="1"/>
  <c r="I4" i="38"/>
  <c r="I3" i="38"/>
  <c r="E20" i="38" s="1"/>
  <c r="I5" i="38"/>
  <c r="E20" i="39"/>
  <c r="H22" i="39" s="1"/>
  <c r="H23" i="39" s="1"/>
  <c r="E3" i="29"/>
  <c r="I5" i="29"/>
  <c r="I4" i="29"/>
  <c r="I3" i="29"/>
  <c r="I5" i="35"/>
  <c r="E20" i="35" s="1"/>
  <c r="I4" i="35"/>
  <c r="I3" i="35"/>
  <c r="I6" i="12"/>
  <c r="I9" i="14"/>
  <c r="I8" i="14"/>
  <c r="I7" i="14"/>
  <c r="I12" i="14"/>
  <c r="I6" i="14"/>
  <c r="I4" i="28"/>
  <c r="E20" i="28" s="1"/>
  <c r="I3" i="28"/>
  <c r="I5" i="28"/>
  <c r="E20" i="29"/>
  <c r="H22" i="29" s="1"/>
  <c r="H23" i="29" s="1"/>
  <c r="I4" i="34"/>
  <c r="I3" i="34"/>
  <c r="E20" i="34" s="1"/>
  <c r="I5" i="34"/>
  <c r="C20" i="10"/>
  <c r="A20" i="11"/>
  <c r="C20" i="11" s="1"/>
  <c r="I9" i="18"/>
  <c r="I3" i="18"/>
  <c r="I8" i="18"/>
  <c r="I13" i="18"/>
  <c r="I7" i="18"/>
  <c r="I12" i="18"/>
  <c r="I6" i="18"/>
  <c r="I11" i="18"/>
  <c r="I5" i="18"/>
  <c r="I5" i="31"/>
  <c r="I4" i="31"/>
  <c r="I3" i="31"/>
  <c r="E20" i="31" s="1"/>
  <c r="I5" i="37"/>
  <c r="I4" i="37"/>
  <c r="I3" i="37"/>
  <c r="E20" i="37" s="1"/>
  <c r="A20" i="40"/>
  <c r="C20" i="40" s="1"/>
  <c r="A20" i="42"/>
  <c r="C20" i="42" s="1"/>
  <c r="A20" i="44"/>
  <c r="C20" i="44" s="1"/>
  <c r="A20" i="46"/>
  <c r="C20" i="46" s="1"/>
  <c r="A20" i="48"/>
  <c r="C20" i="48" s="1"/>
  <c r="A20" i="50"/>
  <c r="C20" i="50"/>
  <c r="I5" i="9" l="1"/>
  <c r="I3" i="7"/>
  <c r="I4" i="7"/>
  <c r="I5" i="25"/>
  <c r="I10" i="14"/>
  <c r="I5" i="14"/>
  <c r="I3" i="14"/>
  <c r="E20" i="14" s="1"/>
  <c r="E3" i="14" s="1"/>
  <c r="E23" i="51" s="1"/>
  <c r="F23" i="51" s="1"/>
  <c r="G23" i="51" s="1"/>
  <c r="I5" i="26"/>
  <c r="I4" i="26"/>
  <c r="I4" i="16"/>
  <c r="I5" i="16"/>
  <c r="I4" i="12"/>
  <c r="I5" i="12"/>
  <c r="I4" i="11"/>
  <c r="I5" i="11"/>
  <c r="E20" i="7"/>
  <c r="H22" i="7" s="1"/>
  <c r="H23" i="7" s="1"/>
  <c r="I4" i="5"/>
  <c r="I5" i="5"/>
  <c r="E20" i="5" s="1"/>
  <c r="H22" i="5" s="1"/>
  <c r="H23" i="5" s="1"/>
  <c r="I5" i="3"/>
  <c r="I5" i="1"/>
  <c r="E20" i="18"/>
  <c r="H22" i="18" s="1"/>
  <c r="H23" i="18" s="1"/>
  <c r="I3" i="9"/>
  <c r="I4" i="3"/>
  <c r="I4" i="25"/>
  <c r="I3" i="16"/>
  <c r="I4" i="1"/>
  <c r="H22" i="43"/>
  <c r="H23" i="43" s="1"/>
  <c r="E3" i="43"/>
  <c r="E3" i="37"/>
  <c r="H22" i="37"/>
  <c r="H23" i="37" s="1"/>
  <c r="H22" i="49"/>
  <c r="H23" i="49" s="1"/>
  <c r="E3" i="49"/>
  <c r="H22" i="45"/>
  <c r="H23" i="45" s="1"/>
  <c r="E3" i="45"/>
  <c r="H22" i="30"/>
  <c r="H23" i="30" s="1"/>
  <c r="E3" i="30"/>
  <c r="H22" i="38"/>
  <c r="H23" i="38" s="1"/>
  <c r="E3" i="38"/>
  <c r="H22" i="35"/>
  <c r="H23" i="35" s="1"/>
  <c r="E3" i="35"/>
  <c r="H22" i="28"/>
  <c r="H23" i="28" s="1"/>
  <c r="E3" i="28"/>
  <c r="H22" i="41"/>
  <c r="H23" i="41" s="1"/>
  <c r="E3" i="41"/>
  <c r="I6" i="17"/>
  <c r="I5" i="17"/>
  <c r="I4" i="17"/>
  <c r="I3" i="17"/>
  <c r="H22" i="31"/>
  <c r="H23" i="31" s="1"/>
  <c r="E3" i="31"/>
  <c r="E3" i="34"/>
  <c r="H22" i="34"/>
  <c r="H23" i="34" s="1"/>
  <c r="H22" i="47"/>
  <c r="H23" i="47" s="1"/>
  <c r="E3" i="47"/>
  <c r="E3" i="27"/>
  <c r="H22" i="27"/>
  <c r="H23" i="27" s="1"/>
  <c r="H22" i="36"/>
  <c r="H23" i="36" s="1"/>
  <c r="E3" i="36"/>
  <c r="I6" i="15"/>
  <c r="I5" i="15"/>
  <c r="I4" i="15"/>
  <c r="I3" i="15"/>
  <c r="E3" i="39"/>
  <c r="E3" i="33"/>
  <c r="I3" i="11"/>
  <c r="E20" i="11" s="1"/>
  <c r="H22" i="11" s="1"/>
  <c r="H23" i="11" s="1"/>
  <c r="I6" i="2"/>
  <c r="I5" i="2"/>
  <c r="I4" i="2"/>
  <c r="I3" i="2"/>
  <c r="I7" i="2"/>
  <c r="I4" i="42"/>
  <c r="I3" i="42"/>
  <c r="I5" i="42"/>
  <c r="E3" i="32"/>
  <c r="I4" i="50"/>
  <c r="I3" i="50"/>
  <c r="I5" i="50"/>
  <c r="I4" i="40"/>
  <c r="I3" i="40"/>
  <c r="I5" i="40"/>
  <c r="I3" i="10"/>
  <c r="I6" i="10"/>
  <c r="I5" i="10"/>
  <c r="I4" i="10"/>
  <c r="E20" i="42"/>
  <c r="H22" i="42" s="1"/>
  <c r="H23" i="42" s="1"/>
  <c r="I4" i="8"/>
  <c r="I3" i="8"/>
  <c r="I5" i="8"/>
  <c r="I4" i="44"/>
  <c r="E20" i="44" s="1"/>
  <c r="I3" i="44"/>
  <c r="I5" i="44"/>
  <c r="I4" i="48"/>
  <c r="I3" i="48"/>
  <c r="E20" i="48" s="1"/>
  <c r="I5" i="48"/>
  <c r="E20" i="50"/>
  <c r="E3" i="50" s="1"/>
  <c r="I6" i="13"/>
  <c r="I5" i="13"/>
  <c r="I4" i="13"/>
  <c r="I3" i="13"/>
  <c r="I7" i="13"/>
  <c r="I4" i="46"/>
  <c r="I3" i="46"/>
  <c r="E20" i="46" s="1"/>
  <c r="I5" i="46"/>
  <c r="E20" i="40"/>
  <c r="H22" i="40" s="1"/>
  <c r="H23" i="40" s="1"/>
  <c r="I6" i="4"/>
  <c r="I5" i="4"/>
  <c r="I7" i="4"/>
  <c r="I4" i="4"/>
  <c r="I3" i="4"/>
  <c r="I4" i="6"/>
  <c r="I3" i="6"/>
  <c r="I8" i="6"/>
  <c r="I5" i="6"/>
  <c r="I7" i="6"/>
  <c r="I6" i="6"/>
  <c r="E20" i="25" l="1"/>
  <c r="H22" i="25" s="1"/>
  <c r="H23" i="25" s="1"/>
  <c r="E3" i="18"/>
  <c r="E27" i="51" s="1"/>
  <c r="F27" i="51" s="1"/>
  <c r="G27" i="51" s="1"/>
  <c r="E20" i="12"/>
  <c r="E20" i="9"/>
  <c r="E3" i="9" s="1"/>
  <c r="E18" i="51" s="1"/>
  <c r="F18" i="51" s="1"/>
  <c r="G18" i="51" s="1"/>
  <c r="E3" i="7"/>
  <c r="E16" i="51" s="1"/>
  <c r="F16" i="51" s="1"/>
  <c r="G16" i="51" s="1"/>
  <c r="E20" i="26"/>
  <c r="E3" i="26" s="1"/>
  <c r="E29" i="51" s="1"/>
  <c r="F29" i="51" s="1"/>
  <c r="G29" i="51" s="1"/>
  <c r="E20" i="16"/>
  <c r="E20" i="15"/>
  <c r="H22" i="15" s="1"/>
  <c r="H23" i="15" s="1"/>
  <c r="H22" i="12"/>
  <c r="H23" i="12" s="1"/>
  <c r="E3" i="12"/>
  <c r="E21" i="51" s="1"/>
  <c r="F21" i="51" s="1"/>
  <c r="G21" i="51" s="1"/>
  <c r="E3" i="5"/>
  <c r="E14" i="51" s="1"/>
  <c r="F14" i="51" s="1"/>
  <c r="G14" i="51" s="1"/>
  <c r="E20" i="3"/>
  <c r="H22" i="3" s="1"/>
  <c r="H23" i="3" s="1"/>
  <c r="E20" i="1"/>
  <c r="E3" i="1" s="1"/>
  <c r="E10" i="51" s="1"/>
  <c r="F10" i="51" s="1"/>
  <c r="E20" i="17"/>
  <c r="E3" i="17" s="1"/>
  <c r="E26" i="51" s="1"/>
  <c r="F26" i="51" s="1"/>
  <c r="G26" i="51" s="1"/>
  <c r="H22" i="14"/>
  <c r="H23" i="14" s="1"/>
  <c r="E3" i="11"/>
  <c r="E20" i="51" s="1"/>
  <c r="F20" i="51" s="1"/>
  <c r="G20" i="51" s="1"/>
  <c r="E20" i="10"/>
  <c r="H22" i="10" s="1"/>
  <c r="H23" i="10" s="1"/>
  <c r="E20" i="2"/>
  <c r="H22" i="2" s="1"/>
  <c r="H23" i="2" s="1"/>
  <c r="H22" i="16"/>
  <c r="H23" i="16" s="1"/>
  <c r="E3" i="16"/>
  <c r="E25" i="51" s="1"/>
  <c r="F25" i="51" s="1"/>
  <c r="G25" i="51" s="1"/>
  <c r="E20" i="4"/>
  <c r="E3" i="4" s="1"/>
  <c r="E13" i="51" s="1"/>
  <c r="F13" i="51" s="1"/>
  <c r="G13" i="51" s="1"/>
  <c r="E20" i="6"/>
  <c r="H22" i="6" s="1"/>
  <c r="H23" i="6" s="1"/>
  <c r="E20" i="8"/>
  <c r="E20" i="13"/>
  <c r="H22" i="13" s="1"/>
  <c r="H23" i="13" s="1"/>
  <c r="H22" i="44"/>
  <c r="H23" i="44" s="1"/>
  <c r="E3" i="44"/>
  <c r="E3" i="46"/>
  <c r="H22" i="46"/>
  <c r="H23" i="46" s="1"/>
  <c r="H22" i="48"/>
  <c r="H23" i="48" s="1"/>
  <c r="E3" i="48"/>
  <c r="H22" i="50"/>
  <c r="H23" i="50" s="1"/>
  <c r="E3" i="42"/>
  <c r="E3" i="40"/>
  <c r="H22" i="26" l="1"/>
  <c r="H23" i="26" s="1"/>
  <c r="E3" i="25"/>
  <c r="E28" i="51" s="1"/>
  <c r="F28" i="51" s="1"/>
  <c r="G28" i="51" s="1"/>
  <c r="E3" i="10"/>
  <c r="E19" i="51" s="1"/>
  <c r="F19" i="51" s="1"/>
  <c r="G19" i="51" s="1"/>
  <c r="H22" i="9"/>
  <c r="H23" i="9" s="1"/>
  <c r="G10" i="51"/>
  <c r="E3" i="15"/>
  <c r="E24" i="51" s="1"/>
  <c r="F24" i="51" s="1"/>
  <c r="G24" i="51" s="1"/>
  <c r="E3" i="3"/>
  <c r="E12" i="51" s="1"/>
  <c r="F12" i="51" s="1"/>
  <c r="G12" i="51" s="1"/>
  <c r="H22" i="1"/>
  <c r="H23" i="1" s="1"/>
  <c r="H22" i="17"/>
  <c r="H23" i="17" s="1"/>
  <c r="E3" i="13"/>
  <c r="E22" i="51" s="1"/>
  <c r="F22" i="51" s="1"/>
  <c r="G22" i="51" s="1"/>
  <c r="E3" i="6"/>
  <c r="E15" i="51" s="1"/>
  <c r="F15" i="51" s="1"/>
  <c r="G15" i="51" s="1"/>
  <c r="E3" i="2"/>
  <c r="E11" i="51" s="1"/>
  <c r="F11" i="51" s="1"/>
  <c r="G11" i="51" s="1"/>
  <c r="H22" i="4"/>
  <c r="H23" i="4" s="1"/>
  <c r="H22" i="8"/>
  <c r="H23" i="8" s="1"/>
  <c r="E3" i="8"/>
  <c r="E17" i="51" s="1"/>
  <c r="F17" i="51" s="1"/>
  <c r="G17" i="51" s="1"/>
  <c r="F30" i="51" l="1"/>
  <c r="G30" i="51"/>
</calcChain>
</file>

<file path=xl/sharedStrings.xml><?xml version="1.0" encoding="utf-8"?>
<sst xmlns="http://schemas.openxmlformats.org/spreadsheetml/2006/main" count="1375" uniqueCount="82">
  <si>
    <t>ESTIMATIVA DO ITEM</t>
  </si>
  <si>
    <t>MATERIAL OU SERVIÇO</t>
  </si>
  <si>
    <t>UNIDADE</t>
  </si>
  <si>
    <t>QUANT.</t>
  </si>
  <si>
    <t>PREÇO ESTIMADO</t>
  </si>
  <si>
    <t>MENOR PREÇO</t>
  </si>
  <si>
    <t>FONTE DE PESQUISA</t>
  </si>
  <si>
    <t>PREÇOS</t>
  </si>
  <si>
    <t>DESCARTE</t>
  </si>
  <si>
    <t>DESVIO PADRÃO</t>
  </si>
  <si>
    <t>QUANTIDADE DE PREÇOS COLETADOS</t>
  </si>
  <si>
    <t>COEF.</t>
  </si>
  <si>
    <t>MÉDIA</t>
  </si>
  <si>
    <t>MÉDIA APÓS DESCARTE</t>
  </si>
  <si>
    <t>MEDIANA</t>
  </si>
  <si>
    <t>MENOR PREÇO UNITÁRIO COLETADO PARA O ITEM</t>
  </si>
  <si>
    <t>VALOR UNITÁRIO ESTIMADO</t>
  </si>
  <si>
    <t>VALOR TOTAL</t>
  </si>
  <si>
    <t>DESVIO: desvio padrão dos preços pesquisados, calculados por meio da função DESVPAD do editor de planilhas.</t>
  </si>
  <si>
    <t>COEF.: relação entre o DESVIO e a MÉDIA, expresso em valor percentual.</t>
  </si>
  <si>
    <t>MÉDIA: média aritmética dos preços pesquisados.</t>
  </si>
  <si>
    <t>DESCARTE: coluna que exibe os preços considerados, quando COEF. é maior que 25%. São descartados os preços fora do intervalo entre o menor preço e a soma [MÉDIA + DESVIO].</t>
  </si>
  <si>
    <t>MÉDIA APÓS DESCARTE: média aritmética dos preços dentro do intervalo acima descrito.</t>
  </si>
  <si>
    <t>MEDIANA: valor estatístico que separa a metade maior da metade menor da amostra, calculado pela função MED do editor de planilhas.</t>
  </si>
  <si>
    <t>VALOR UNITÁRIO: quando COEF. for menor ou igual a 25%, o valor unitário estimado será a MÉDIA dos preços pesquisados; quando COEF. for maior que 25%, o valor unitário será o menor valor dentre a MÉDIA APÓS DESCARTE e a MEDIANA.</t>
  </si>
  <si>
    <t>unidade</t>
  </si>
  <si>
    <t xml:space="preserve">EXEMPLO - Serviço de confecção de placa em alumínio composto, medindo (2,06 x 0,75)m, fundo branco, com gravação das letras em baixo relevo na cor preta, gravadas através do processo de router (fresa) e Brasão da República impresso em adesivo leitoso em policromia de alta resolução com aplicação em verniz. Com borda de 5 cm na cor preta. Com perfil de alumínio em U de 5 cm em volta da extremidade do fundo da placa para melhor fixação.
Com 4 furações nas extremidades. Deverão ser fornecidos os 4 parafusos necessários para a fixação em parede de alvenaria. 
Ver desenho PLACA 01 - Será solicitada sempre que surgir uma nova necessidade, quando então será informado o nº da zona eleitoral e o nome dos municípios a serem incluídos na inscrição da placa.
</t>
  </si>
  <si>
    <t>NÃO ALTERE AS FÓRMULAS LTDA</t>
  </si>
  <si>
    <t>NÃO MUDE A ALTURA DAS LINHAS S.A</t>
  </si>
  <si>
    <t>NÃO MUDE AS CORES LTDA</t>
  </si>
  <si>
    <t>ITEM 27</t>
  </si>
  <si>
    <t>ITEM 28</t>
  </si>
  <si>
    <t>ITEM 29</t>
  </si>
  <si>
    <t>ITEM 30</t>
  </si>
  <si>
    <t>ITEM 31</t>
  </si>
  <si>
    <t>ITEM 32</t>
  </si>
  <si>
    <t>ITEM 33</t>
  </si>
  <si>
    <t>ITEM 34</t>
  </si>
  <si>
    <t>ITEM 35</t>
  </si>
  <si>
    <t>ITEM 36</t>
  </si>
  <si>
    <t>ITEM 37</t>
  </si>
  <si>
    <t>ITEM 38</t>
  </si>
  <si>
    <t>ITEM 39</t>
  </si>
  <si>
    <t>ITEM 40</t>
  </si>
  <si>
    <t>ITEM 41</t>
  </si>
  <si>
    <t>ITEM 42</t>
  </si>
  <si>
    <t>ITEM 43</t>
  </si>
  <si>
    <t>ITEM 44</t>
  </si>
  <si>
    <t>ITEM 45</t>
  </si>
  <si>
    <t>ITEM 46</t>
  </si>
  <si>
    <t>ITEM 47</t>
  </si>
  <si>
    <t>ITEM 48</t>
  </si>
  <si>
    <t>ITEM 49</t>
  </si>
  <si>
    <t>ITEM 50</t>
  </si>
  <si>
    <t>RESULTADO DA ESTIMATIVA</t>
  </si>
  <si>
    <t>Descrição</t>
  </si>
  <si>
    <t>Unidade de Fornecimento</t>
  </si>
  <si>
    <t>Quantidade</t>
  </si>
  <si>
    <t>Valor Unitário</t>
  </si>
  <si>
    <t>VALOR TOTAL ESTIMADO</t>
  </si>
  <si>
    <t>beneficiários</t>
  </si>
  <si>
    <t>Faixa Etária 0 a 18</t>
  </si>
  <si>
    <t>Faixa Etária 49 a 53</t>
  </si>
  <si>
    <t>Faixa Etária 19 a 23</t>
  </si>
  <si>
    <t>Faixa Etária 24 a 28</t>
  </si>
  <si>
    <t>Faixa Etária 29 a 33</t>
  </si>
  <si>
    <t>Faixa Etária 34 a 38</t>
  </si>
  <si>
    <t>Faixa Etária 39 a 43</t>
  </si>
  <si>
    <t>Faixa Etária 44 a 48</t>
  </si>
  <si>
    <t>Faixa Etária 54 a 58</t>
  </si>
  <si>
    <t>Faixa Etária acima de 58</t>
  </si>
  <si>
    <t>ESPECIAL</t>
  </si>
  <si>
    <t>BÁSICO</t>
  </si>
  <si>
    <t>Plano</t>
  </si>
  <si>
    <t>Básico</t>
  </si>
  <si>
    <t>Superior / Especial</t>
  </si>
  <si>
    <t>Valor Mensal</t>
  </si>
  <si>
    <t>Valor Total
30 meses</t>
  </si>
  <si>
    <t>TRE-SE - UNIMED SEG SAUDE S/A- 2º Aditivo</t>
  </si>
  <si>
    <t>TRE-PB - UNIMED JOAO PESSOA - 1º Apostilamento</t>
  </si>
  <si>
    <t>TRE-SC - UNIMED - Contr. 18/18 - Ap. 20/21</t>
  </si>
  <si>
    <t>TRE-SC - UNIMED - Contr. 21/18 - Ap. 20/21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</si>
</sst>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R$-416]\ #,##0.00;[Red]\-[$R$-416]\ #,##0.00"/>
    <numFmt numFmtId="165" formatCode="_-&quot;R$ &quot;* #,##0.00_-;&quot;-R$ &quot;* #,##0.00_-;_-&quot;R$ &quot;* \-??_-;_-@_-"/>
  </numFmts>
  <fonts count="17">
    <font>
      <sz val="10"/>
      <name val="Arial"/>
      <family val="2"/>
      <charset val="1"/>
    </font>
    <font>
      <sz val="10"/>
      <color rgb="FFFFFFFF"/>
      <name val="Mangal"/>
      <family val="2"/>
      <charset val="1"/>
    </font>
    <font>
      <sz val="10"/>
      <color rgb="FF000000"/>
      <name val="Mangal"/>
      <family val="2"/>
      <charset val="1"/>
    </font>
    <font>
      <sz val="10"/>
      <color rgb="FFCC0000"/>
      <name val="Mangal"/>
      <family val="2"/>
      <charset val="1"/>
    </font>
    <font>
      <sz val="10"/>
      <color rgb="FF808080"/>
      <name val="Mangal"/>
      <family val="2"/>
      <charset val="1"/>
    </font>
    <font>
      <sz val="10"/>
      <color rgb="FF006600"/>
      <name val="Mangal"/>
      <family val="2"/>
      <charset val="1"/>
    </font>
    <font>
      <sz val="10"/>
      <color rgb="FF996600"/>
      <name val="Mangal"/>
      <family val="2"/>
      <charset val="1"/>
    </font>
    <font>
      <sz val="10"/>
      <color rgb="FF333333"/>
      <name val="Mangal"/>
      <family val="2"/>
      <charset val="1"/>
    </font>
    <font>
      <u/>
      <sz val="10"/>
      <name val="Mangal"/>
      <family val="2"/>
      <charset val="1"/>
    </font>
    <font>
      <sz val="10"/>
      <name val="Mangal"/>
      <family val="2"/>
      <charset val="1"/>
    </font>
    <font>
      <sz val="10"/>
      <name val="Calibri"/>
      <family val="2"/>
      <charset val="1"/>
    </font>
    <font>
      <b/>
      <sz val="12"/>
      <name val="Calibri"/>
      <family val="2"/>
      <charset val="1"/>
    </font>
    <font>
      <b/>
      <sz val="10"/>
      <name val="Calibri"/>
      <family val="2"/>
      <charset val="1"/>
    </font>
    <font>
      <b/>
      <sz val="10"/>
      <color rgb="FF000000"/>
      <name val="Calibri"/>
      <family val="2"/>
      <charset val="1"/>
    </font>
    <font>
      <sz val="10"/>
      <color rgb="FF000000"/>
      <name val="Calibri"/>
      <family val="2"/>
      <charset val="1"/>
    </font>
    <font>
      <b/>
      <sz val="9"/>
      <name val="Calibri"/>
      <family val="2"/>
      <charset val="1"/>
    </font>
    <font>
      <sz val="10"/>
      <name val="Arial"/>
      <charset val="1"/>
    </font>
  </fonts>
  <fills count="11">
    <fill>
      <patternFill patternType="none"/>
    </fill>
    <fill>
      <patternFill patternType="gray125"/>
    </fill>
    <fill>
      <patternFill patternType="solid">
        <fgColor rgb="FF000000"/>
        <bgColor rgb="FF003300"/>
      </patternFill>
    </fill>
    <fill>
      <patternFill patternType="solid">
        <fgColor rgb="FF808080"/>
        <bgColor rgb="FF969696"/>
      </patternFill>
    </fill>
    <fill>
      <patternFill patternType="solid">
        <fgColor rgb="FFDDDDDD"/>
        <bgColor rgb="FFDDD9C3"/>
      </patternFill>
    </fill>
    <fill>
      <patternFill patternType="solid">
        <fgColor rgb="FFFFCCCC"/>
        <bgColor rgb="FFDDD9C3"/>
      </patternFill>
    </fill>
    <fill>
      <patternFill patternType="solid">
        <fgColor rgb="FFCC0000"/>
        <bgColor rgb="FF800000"/>
      </patternFill>
    </fill>
    <fill>
      <patternFill patternType="solid">
        <fgColor rgb="FFCCFFCC"/>
        <bgColor rgb="FFCCFFFF"/>
      </patternFill>
    </fill>
    <fill>
      <patternFill patternType="solid">
        <fgColor rgb="FFFFFFCC"/>
        <bgColor rgb="FFFFFFFF"/>
      </patternFill>
    </fill>
    <fill>
      <patternFill patternType="solid">
        <fgColor rgb="FFC4BD97"/>
        <bgColor rgb="FFDDD9C3"/>
      </patternFill>
    </fill>
    <fill>
      <patternFill patternType="solid">
        <fgColor rgb="FFDDD9C3"/>
        <bgColor rgb="FFDDDDDD"/>
      </patternFill>
    </fill>
  </fills>
  <borders count="10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/>
      <right/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/>
      <right/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</borders>
  <cellStyleXfs count="21">
    <xf numFmtId="0" fontId="0" fillId="0" borderId="0"/>
    <xf numFmtId="165" fontId="16" fillId="0" borderId="0" applyBorder="0" applyProtection="0"/>
    <xf numFmtId="0" fontId="1" fillId="2" borderId="0" applyBorder="0" applyProtection="0"/>
    <xf numFmtId="0" fontId="1" fillId="3" borderId="0" applyBorder="0" applyProtection="0"/>
    <xf numFmtId="0" fontId="2" fillId="4" borderId="0" applyBorder="0" applyProtection="0"/>
    <xf numFmtId="0" fontId="2" fillId="0" borderId="0" applyBorder="0" applyProtection="0"/>
    <xf numFmtId="0" fontId="3" fillId="5" borderId="0" applyBorder="0" applyProtection="0"/>
    <xf numFmtId="0" fontId="1" fillId="6" borderId="0" applyBorder="0" applyProtection="0"/>
    <xf numFmtId="0" fontId="4" fillId="0" borderId="0" applyBorder="0" applyProtection="0"/>
    <xf numFmtId="0" fontId="5" fillId="7" borderId="0" applyBorder="0" applyProtection="0"/>
    <xf numFmtId="0" fontId="2" fillId="0" borderId="0" applyBorder="0" applyProtection="0"/>
    <xf numFmtId="0" fontId="2" fillId="0" borderId="0" applyBorder="0" applyProtection="0"/>
    <xf numFmtId="0" fontId="2" fillId="0" borderId="0" applyBorder="0" applyProtection="0"/>
    <xf numFmtId="0" fontId="6" fillId="8" borderId="0" applyBorder="0" applyProtection="0"/>
    <xf numFmtId="0" fontId="7" fillId="8" borderId="1" applyProtection="0"/>
    <xf numFmtId="0" fontId="8" fillId="0" borderId="0" applyBorder="0" applyProtection="0"/>
    <xf numFmtId="164" fontId="8" fillId="0" borderId="0" applyBorder="0" applyProtection="0"/>
    <xf numFmtId="0" fontId="9" fillId="0" borderId="0" applyBorder="0" applyProtection="0"/>
    <xf numFmtId="0" fontId="9" fillId="0" borderId="0" applyBorder="0" applyProtection="0"/>
    <xf numFmtId="0" fontId="9" fillId="0" borderId="0" applyBorder="0" applyProtection="0">
      <alignment horizontal="center" textRotation="90"/>
    </xf>
    <xf numFmtId="0" fontId="3" fillId="0" borderId="0" applyBorder="0" applyProtection="0"/>
  </cellStyleXfs>
  <cellXfs count="60">
    <xf numFmtId="0" fontId="0" fillId="0" borderId="0" xfId="0"/>
    <xf numFmtId="0" fontId="10" fillId="0" borderId="0" xfId="0" applyFont="1" applyProtection="1">
      <protection locked="0"/>
    </xf>
    <xf numFmtId="0" fontId="12" fillId="10" borderId="3" xfId="0" applyFont="1" applyFill="1" applyBorder="1" applyAlignment="1" applyProtection="1">
      <alignment horizontal="center" vertical="center"/>
    </xf>
    <xf numFmtId="0" fontId="12" fillId="10" borderId="3" xfId="0" applyFont="1" applyFill="1" applyBorder="1" applyAlignment="1" applyProtection="1">
      <alignment horizontal="center" vertical="center" wrapText="1"/>
    </xf>
    <xf numFmtId="0" fontId="12" fillId="10" borderId="2" xfId="0" applyFont="1" applyFill="1" applyBorder="1" applyAlignment="1" applyProtection="1">
      <alignment horizontal="center" vertical="center"/>
    </xf>
    <xf numFmtId="0" fontId="12" fillId="10" borderId="2" xfId="0" applyFont="1" applyFill="1" applyBorder="1" applyAlignment="1" applyProtection="1">
      <alignment horizontal="center" vertical="center" wrapText="1"/>
    </xf>
    <xf numFmtId="0" fontId="15" fillId="0" borderId="2" xfId="0" applyFont="1" applyBorder="1" applyProtection="1">
      <protection locked="0"/>
    </xf>
    <xf numFmtId="164" fontId="13" fillId="0" borderId="2" xfId="0" applyNumberFormat="1" applyFont="1" applyBorder="1" applyAlignment="1" applyProtection="1">
      <alignment horizontal="center" shrinkToFit="1"/>
      <protection locked="0"/>
    </xf>
    <xf numFmtId="164" fontId="13" fillId="10" borderId="2" xfId="0" applyNumberFormat="1" applyFont="1" applyFill="1" applyBorder="1" applyAlignment="1" applyProtection="1">
      <alignment horizontal="center" shrinkToFit="1"/>
    </xf>
    <xf numFmtId="0" fontId="12" fillId="0" borderId="4" xfId="0" applyFont="1" applyBorder="1" applyAlignment="1" applyProtection="1">
      <alignment horizontal="center" vertical="center"/>
      <protection locked="0"/>
    </xf>
    <xf numFmtId="0" fontId="14" fillId="0" borderId="4" xfId="0" applyFont="1" applyBorder="1" applyAlignment="1" applyProtection="1">
      <alignment horizontal="left" vertical="center" wrapText="1"/>
      <protection locked="0"/>
    </xf>
    <xf numFmtId="0" fontId="14" fillId="0" borderId="5" xfId="0" applyFont="1" applyBorder="1" applyAlignment="1" applyProtection="1">
      <alignment horizontal="left" vertical="center" wrapText="1"/>
      <protection locked="0"/>
    </xf>
    <xf numFmtId="0" fontId="14" fillId="0" borderId="5" xfId="0" applyFont="1" applyBorder="1" applyAlignment="1" applyProtection="1">
      <alignment horizontal="center" vertical="center" wrapText="1"/>
      <protection locked="0"/>
    </xf>
    <xf numFmtId="0" fontId="14" fillId="0" borderId="4" xfId="0" applyFont="1" applyBorder="1" applyAlignment="1" applyProtection="1">
      <alignment horizontal="center" vertical="center" wrapText="1"/>
      <protection locked="0"/>
    </xf>
    <xf numFmtId="0" fontId="15" fillId="0" borderId="4" xfId="0" applyFont="1" applyBorder="1" applyProtection="1">
      <protection locked="0"/>
    </xf>
    <xf numFmtId="164" fontId="13" fillId="0" borderId="0" xfId="0" applyNumberFormat="1" applyFont="1" applyBorder="1" applyAlignment="1" applyProtection="1">
      <alignment horizontal="center"/>
      <protection locked="0"/>
    </xf>
    <xf numFmtId="0" fontId="13" fillId="10" borderId="2" xfId="0" applyFont="1" applyFill="1" applyBorder="1" applyAlignment="1" applyProtection="1">
      <alignment horizontal="center" vertical="center"/>
    </xf>
    <xf numFmtId="0" fontId="13" fillId="10" borderId="2" xfId="0" applyFont="1" applyFill="1" applyBorder="1" applyAlignment="1" applyProtection="1">
      <alignment horizontal="center" vertical="center" wrapText="1"/>
    </xf>
    <xf numFmtId="164" fontId="10" fillId="0" borderId="0" xfId="0" applyNumberFormat="1" applyFont="1" applyBorder="1" applyAlignment="1" applyProtection="1">
      <alignment horizontal="left"/>
      <protection locked="0"/>
    </xf>
    <xf numFmtId="0" fontId="10" fillId="10" borderId="2" xfId="0" applyFont="1" applyFill="1" applyBorder="1" applyAlignment="1" applyProtection="1">
      <alignment horizontal="center"/>
    </xf>
    <xf numFmtId="10" fontId="10" fillId="10" borderId="6" xfId="0" applyNumberFormat="1" applyFont="1" applyFill="1" applyBorder="1" applyAlignment="1" applyProtection="1">
      <alignment horizontal="center"/>
    </xf>
    <xf numFmtId="164" fontId="14" fillId="10" borderId="4" xfId="0" applyNumberFormat="1" applyFont="1" applyFill="1" applyBorder="1" applyAlignment="1" applyProtection="1">
      <alignment horizontal="center" shrinkToFit="1"/>
    </xf>
    <xf numFmtId="164" fontId="14" fillId="10" borderId="2" xfId="0" applyNumberFormat="1" applyFont="1" applyFill="1" applyBorder="1" applyAlignment="1" applyProtection="1">
      <alignment horizontal="center" shrinkToFit="1"/>
    </xf>
    <xf numFmtId="164" fontId="12" fillId="10" borderId="2" xfId="0" applyNumberFormat="1" applyFont="1" applyFill="1" applyBorder="1" applyAlignment="1" applyProtection="1">
      <alignment horizontal="left"/>
    </xf>
    <xf numFmtId="164" fontId="10" fillId="10" borderId="2" xfId="0" applyNumberFormat="1" applyFont="1" applyFill="1" applyBorder="1" applyAlignment="1" applyProtection="1">
      <alignment horizontal="right" shrinkToFit="1"/>
    </xf>
    <xf numFmtId="0" fontId="12" fillId="0" borderId="0" xfId="0" applyFont="1" applyBorder="1" applyAlignment="1" applyProtection="1">
      <protection locked="0"/>
    </xf>
    <xf numFmtId="164" fontId="10" fillId="0" borderId="4" xfId="0" applyNumberFormat="1" applyFont="1" applyBorder="1" applyAlignment="1" applyProtection="1">
      <alignment horizontal="left"/>
      <protection locked="0"/>
    </xf>
    <xf numFmtId="164" fontId="10" fillId="0" borderId="0" xfId="0" applyNumberFormat="1" applyFont="1" applyBorder="1" applyAlignment="1" applyProtection="1">
      <alignment horizontal="right"/>
      <protection locked="0"/>
    </xf>
    <xf numFmtId="164" fontId="10" fillId="0" borderId="0" xfId="0" applyNumberFormat="1" applyFont="1" applyBorder="1" applyAlignment="1" applyProtection="1">
      <protection locked="0"/>
    </xf>
    <xf numFmtId="0" fontId="12" fillId="0" borderId="0" xfId="0" applyFont="1" applyBorder="1" applyAlignment="1" applyProtection="1">
      <alignment horizontal="center"/>
      <protection locked="0"/>
    </xf>
    <xf numFmtId="164" fontId="14" fillId="0" borderId="0" xfId="0" applyNumberFormat="1" applyFont="1" applyBorder="1" applyAlignment="1" applyProtection="1">
      <protection locked="0"/>
    </xf>
    <xf numFmtId="164" fontId="13" fillId="10" borderId="2" xfId="0" applyNumberFormat="1" applyFont="1" applyFill="1" applyBorder="1" applyAlignment="1" applyProtection="1">
      <alignment horizontal="center" vertical="center"/>
    </xf>
    <xf numFmtId="164" fontId="14" fillId="10" borderId="2" xfId="0" applyNumberFormat="1" applyFont="1" applyFill="1" applyBorder="1" applyAlignment="1" applyProtection="1">
      <alignment horizontal="right" shrinkToFit="1"/>
    </xf>
    <xf numFmtId="164" fontId="13" fillId="0" borderId="0" xfId="0" applyNumberFormat="1" applyFont="1" applyBorder="1" applyAlignment="1" applyProtection="1">
      <protection locked="0"/>
    </xf>
    <xf numFmtId="0" fontId="10" fillId="0" borderId="0" xfId="0" applyFont="1" applyAlignment="1">
      <alignment wrapText="1"/>
    </xf>
    <xf numFmtId="0" fontId="10" fillId="0" borderId="0" xfId="0" applyFont="1" applyAlignment="1"/>
    <xf numFmtId="0" fontId="11" fillId="0" borderId="0" xfId="0" applyFont="1" applyBorder="1" applyAlignment="1">
      <alignment horizontal="center" wrapText="1"/>
    </xf>
    <xf numFmtId="0" fontId="11" fillId="0" borderId="7" xfId="0" applyFont="1" applyBorder="1" applyAlignment="1">
      <alignment horizontal="center" wrapText="1"/>
    </xf>
    <xf numFmtId="0" fontId="12" fillId="10" borderId="2" xfId="0" applyFont="1" applyFill="1" applyBorder="1" applyAlignment="1">
      <alignment horizontal="center" vertical="center" wrapText="1"/>
    </xf>
    <xf numFmtId="0" fontId="10" fillId="10" borderId="2" xfId="0" applyFont="1" applyFill="1" applyBorder="1" applyAlignment="1">
      <alignment horizontal="center" vertical="center" wrapText="1"/>
    </xf>
    <xf numFmtId="0" fontId="10" fillId="10" borderId="2" xfId="0" applyFont="1" applyFill="1" applyBorder="1" applyAlignment="1">
      <alignment vertical="center" wrapText="1"/>
    </xf>
    <xf numFmtId="165" fontId="10" fillId="10" borderId="2" xfId="1" applyFont="1" applyFill="1" applyBorder="1" applyAlignment="1" applyProtection="1">
      <alignment vertical="center" wrapText="1"/>
    </xf>
    <xf numFmtId="0" fontId="10" fillId="0" borderId="0" xfId="0" applyFont="1" applyAlignment="1">
      <alignment vertical="center"/>
    </xf>
    <xf numFmtId="0" fontId="11" fillId="0" borderId="4" xfId="0" applyFont="1" applyBorder="1" applyAlignment="1">
      <alignment wrapText="1"/>
    </xf>
    <xf numFmtId="165" fontId="12" fillId="10" borderId="2" xfId="1" applyFont="1" applyFill="1" applyBorder="1" applyAlignment="1" applyProtection="1">
      <alignment vertical="center" wrapText="1"/>
    </xf>
    <xf numFmtId="0" fontId="11" fillId="0" borderId="0" xfId="0" applyFont="1" applyBorder="1" applyAlignment="1">
      <alignment vertical="center" wrapText="1"/>
    </xf>
    <xf numFmtId="0" fontId="10" fillId="10" borderId="6" xfId="0" applyFont="1" applyFill="1" applyBorder="1" applyAlignment="1" applyProtection="1">
      <alignment wrapText="1"/>
    </xf>
    <xf numFmtId="0" fontId="10" fillId="10" borderId="2" xfId="0" applyFont="1" applyFill="1" applyBorder="1" applyAlignment="1" applyProtection="1">
      <alignment wrapText="1"/>
    </xf>
    <xf numFmtId="0" fontId="12" fillId="10" borderId="2" xfId="0" applyFont="1" applyFill="1" applyBorder="1" applyAlignment="1" applyProtection="1">
      <alignment horizontal="center" vertical="center"/>
    </xf>
    <xf numFmtId="0" fontId="12" fillId="0" borderId="0" xfId="0" applyFont="1" applyBorder="1" applyAlignment="1" applyProtection="1">
      <alignment horizontal="center"/>
      <protection locked="0"/>
    </xf>
    <xf numFmtId="0" fontId="11" fillId="9" borderId="2" xfId="0" applyFont="1" applyFill="1" applyBorder="1" applyAlignment="1" applyProtection="1">
      <alignment horizontal="center"/>
    </xf>
    <xf numFmtId="0" fontId="12" fillId="0" borderId="3" xfId="0" applyFont="1" applyBorder="1" applyAlignment="1" applyProtection="1">
      <alignment horizontal="center" vertical="center"/>
      <protection locked="0"/>
    </xf>
    <xf numFmtId="0" fontId="14" fillId="0" borderId="2" xfId="0" applyFont="1" applyBorder="1" applyAlignment="1" applyProtection="1">
      <alignment vertical="top" wrapText="1"/>
      <protection locked="0"/>
    </xf>
    <xf numFmtId="0" fontId="14" fillId="0" borderId="2" xfId="0" applyFont="1" applyBorder="1" applyAlignment="1" applyProtection="1">
      <alignment horizontal="center" vertical="center" wrapText="1"/>
      <protection locked="0"/>
    </xf>
    <xf numFmtId="0" fontId="14" fillId="0" borderId="2" xfId="0" applyFont="1" applyBorder="1" applyAlignment="1" applyProtection="1">
      <alignment horizontal="center" vertical="center" shrinkToFit="1"/>
      <protection locked="0"/>
    </xf>
    <xf numFmtId="164" fontId="13" fillId="10" borderId="2" xfId="0" applyNumberFormat="1" applyFont="1" applyFill="1" applyBorder="1" applyAlignment="1" applyProtection="1">
      <alignment horizontal="center" vertical="center" shrinkToFit="1"/>
    </xf>
    <xf numFmtId="0" fontId="11" fillId="9" borderId="2" xfId="0" applyFont="1" applyFill="1" applyBorder="1" applyAlignment="1">
      <alignment horizontal="center" wrapText="1"/>
    </xf>
    <xf numFmtId="0" fontId="10" fillId="10" borderId="6" xfId="0" applyFont="1" applyFill="1" applyBorder="1" applyAlignment="1">
      <alignment horizontal="center" vertical="center" wrapText="1"/>
    </xf>
    <xf numFmtId="0" fontId="10" fillId="10" borderId="8" xfId="0" applyFont="1" applyFill="1" applyBorder="1" applyAlignment="1">
      <alignment horizontal="center" vertical="center" wrapText="1"/>
    </xf>
    <xf numFmtId="0" fontId="10" fillId="10" borderId="9" xfId="0" applyFont="1" applyFill="1" applyBorder="1" applyAlignment="1">
      <alignment horizontal="center" vertical="center" wrapText="1"/>
    </xf>
  </cellXfs>
  <cellStyles count="21">
    <cellStyle name="Accent 1 1" xfId="2"/>
    <cellStyle name="Accent 2 1" xfId="3"/>
    <cellStyle name="Accent 3 1" xfId="4"/>
    <cellStyle name="Accent 4" xfId="5"/>
    <cellStyle name="Bad 1" xfId="6"/>
    <cellStyle name="Error 1" xfId="7"/>
    <cellStyle name="Footnote 1" xfId="8"/>
    <cellStyle name="Good 1" xfId="9"/>
    <cellStyle name="Heading 1 1" xfId="10"/>
    <cellStyle name="Heading 2 1" xfId="11"/>
    <cellStyle name="Heading 3" xfId="12"/>
    <cellStyle name="Moeda" xfId="1" builtinId="4"/>
    <cellStyle name="Neutral 1" xfId="13"/>
    <cellStyle name="Normal" xfId="0" builtinId="0"/>
    <cellStyle name="Note 1" xfId="14"/>
    <cellStyle name="Resultado" xfId="15"/>
    <cellStyle name="Resultado2" xfId="16"/>
    <cellStyle name="Status 1" xfId="17"/>
    <cellStyle name="Text 1" xfId="18"/>
    <cellStyle name="Título1" xfId="19"/>
    <cellStyle name="Warning 1" xfId="20"/>
  </cellStyles>
  <dxfs count="0"/>
  <tableStyles count="0" defaultTableStyle="TableStyleMedium2" defaultPivotStyle="PivotStyleLight16"/>
  <colors>
    <indexedColors>
      <rgbColor rgb="FF000000"/>
      <rgbColor rgb="FFFFFFFF"/>
      <rgbColor rgb="FFCC0000"/>
      <rgbColor rgb="FF00FF00"/>
      <rgbColor rgb="FF0000FF"/>
      <rgbColor rgb="FFFFFF00"/>
      <rgbColor rgb="FFFF00FF"/>
      <rgbColor rgb="FF00FFFF"/>
      <rgbColor rgb="FF800000"/>
      <rgbColor rgb="FF006600"/>
      <rgbColor rgb="FF000080"/>
      <rgbColor rgb="FF996600"/>
      <rgbColor rgb="FF800080"/>
      <rgbColor rgb="FF008080"/>
      <rgbColor rgb="FFC4BD97"/>
      <rgbColor rgb="FF808080"/>
      <rgbColor rgb="FF9999FF"/>
      <rgbColor rgb="FF993366"/>
      <rgbColor rgb="FFFFFFCC"/>
      <rgbColor rgb="FFDDD9C3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CC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styles" Target="styles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sharedStrings" Target="sharedStrings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theme" Target="theme/theme1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1562100</xdr:colOff>
      <xdr:row>0</xdr:row>
      <xdr:rowOff>114300</xdr:rowOff>
    </xdr:from>
    <xdr:to>
      <xdr:col>4</xdr:col>
      <xdr:colOff>685800</xdr:colOff>
      <xdr:row>7</xdr:row>
      <xdr:rowOff>38819</xdr:rowOff>
    </xdr:to>
    <xdr:pic>
      <xdr:nvPicPr>
        <xdr:cNvPr id="3" name="Imagem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71700" y="114300"/>
          <a:ext cx="2781300" cy="105799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5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zoomScaleNormal="100" workbookViewId="0">
      <selection activeCell="H6" sqref="H6"/>
    </sheetView>
  </sheetViews>
  <sheetFormatPr defaultColWidth="9.140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1024" width="9.140625" style="1"/>
  </cols>
  <sheetData>
    <row r="1" spans="1:9" ht="15.75">
      <c r="A1" s="50" t="s">
        <v>0</v>
      </c>
      <c r="B1" s="50"/>
      <c r="C1" s="50"/>
      <c r="D1" s="50"/>
      <c r="E1" s="50"/>
      <c r="F1" s="50"/>
      <c r="G1" s="50"/>
      <c r="H1" s="50"/>
      <c r="I1" s="50"/>
    </row>
    <row r="2" spans="1:9" ht="25.5">
      <c r="A2" s="51" t="s">
        <v>72</v>
      </c>
      <c r="B2" s="2" t="s">
        <v>1</v>
      </c>
      <c r="C2" s="2" t="s">
        <v>2</v>
      </c>
      <c r="D2" s="2" t="s">
        <v>3</v>
      </c>
      <c r="E2" s="3" t="s">
        <v>4</v>
      </c>
      <c r="F2" s="3" t="s">
        <v>5</v>
      </c>
      <c r="G2" s="2" t="s">
        <v>6</v>
      </c>
      <c r="H2" s="4" t="s">
        <v>7</v>
      </c>
      <c r="I2" s="5" t="s">
        <v>8</v>
      </c>
    </row>
    <row r="3" spans="1:9" ht="12.75" customHeight="1">
      <c r="A3" s="51"/>
      <c r="B3" s="52" t="s">
        <v>61</v>
      </c>
      <c r="C3" s="53" t="s">
        <v>60</v>
      </c>
      <c r="D3" s="54">
        <v>78</v>
      </c>
      <c r="E3" s="55">
        <f>IF(C20&lt;=25%,D20,MIN(E20:F20))</f>
        <v>131.83000000000001</v>
      </c>
      <c r="F3" s="55">
        <f>MIN(H3:H17)</f>
        <v>120.13</v>
      </c>
      <c r="G3" s="6" t="s">
        <v>78</v>
      </c>
      <c r="H3" s="7">
        <v>475.42</v>
      </c>
      <c r="I3" s="8" t="str">
        <f t="shared" ref="I3:I17" si="0">IF(H3="","",(IF($C$20&lt;25%,"N/A",IF(H3&lt;=($D$20+$A$20),H3,"Descartado"))))</f>
        <v>Descartado</v>
      </c>
    </row>
    <row r="4" spans="1:9">
      <c r="A4" s="51"/>
      <c r="B4" s="52"/>
      <c r="C4" s="53"/>
      <c r="D4" s="54"/>
      <c r="E4" s="55"/>
      <c r="F4" s="55"/>
      <c r="G4" s="6" t="s">
        <v>79</v>
      </c>
      <c r="H4" s="7">
        <f>132.72*1.0814</f>
        <v>143.52340799999999</v>
      </c>
      <c r="I4" s="8">
        <f t="shared" si="0"/>
        <v>143.52340799999999</v>
      </c>
    </row>
    <row r="5" spans="1:9">
      <c r="A5" s="51"/>
      <c r="B5" s="52"/>
      <c r="C5" s="53"/>
      <c r="D5" s="54"/>
      <c r="E5" s="55"/>
      <c r="F5" s="55"/>
      <c r="G5" s="6" t="s">
        <v>81</v>
      </c>
      <c r="H5" s="7">
        <v>120.13</v>
      </c>
      <c r="I5" s="8">
        <f t="shared" si="0"/>
        <v>120.13</v>
      </c>
    </row>
    <row r="6" spans="1:9">
      <c r="A6" s="51"/>
      <c r="B6" s="52"/>
      <c r="C6" s="53"/>
      <c r="D6" s="54"/>
      <c r="E6" s="55"/>
      <c r="F6" s="55"/>
      <c r="G6" s="6"/>
      <c r="H6" s="7"/>
      <c r="I6" s="8" t="str">
        <f t="shared" si="0"/>
        <v/>
      </c>
    </row>
    <row r="7" spans="1:9">
      <c r="A7" s="51"/>
      <c r="B7" s="52"/>
      <c r="C7" s="53"/>
      <c r="D7" s="54"/>
      <c r="E7" s="55"/>
      <c r="F7" s="55"/>
      <c r="G7" s="6"/>
      <c r="H7" s="7"/>
      <c r="I7" s="8" t="str">
        <f t="shared" si="0"/>
        <v/>
      </c>
    </row>
    <row r="8" spans="1:9">
      <c r="A8" s="51"/>
      <c r="B8" s="52"/>
      <c r="C8" s="53"/>
      <c r="D8" s="54"/>
      <c r="E8" s="55"/>
      <c r="F8" s="55"/>
      <c r="G8" s="6"/>
      <c r="H8" s="7"/>
      <c r="I8" s="8" t="str">
        <f t="shared" si="0"/>
        <v/>
      </c>
    </row>
    <row r="9" spans="1:9">
      <c r="A9" s="51"/>
      <c r="B9" s="52"/>
      <c r="C9" s="53"/>
      <c r="D9" s="54"/>
      <c r="E9" s="55"/>
      <c r="F9" s="55"/>
      <c r="G9" s="6"/>
      <c r="H9" s="7"/>
      <c r="I9" s="8" t="str">
        <f t="shared" si="0"/>
        <v/>
      </c>
    </row>
    <row r="10" spans="1:9">
      <c r="A10" s="51"/>
      <c r="B10" s="52"/>
      <c r="C10" s="53"/>
      <c r="D10" s="54"/>
      <c r="E10" s="55"/>
      <c r="F10" s="55"/>
      <c r="G10" s="6"/>
      <c r="H10" s="7"/>
      <c r="I10" s="8" t="str">
        <f t="shared" si="0"/>
        <v/>
      </c>
    </row>
    <row r="11" spans="1:9">
      <c r="A11" s="51"/>
      <c r="B11" s="52"/>
      <c r="C11" s="53"/>
      <c r="D11" s="54"/>
      <c r="E11" s="55"/>
      <c r="F11" s="55"/>
      <c r="G11" s="6"/>
      <c r="H11" s="7"/>
      <c r="I11" s="8" t="str">
        <f t="shared" si="0"/>
        <v/>
      </c>
    </row>
    <row r="12" spans="1:9">
      <c r="A12" s="51"/>
      <c r="B12" s="52"/>
      <c r="C12" s="53"/>
      <c r="D12" s="54"/>
      <c r="E12" s="55"/>
      <c r="F12" s="55"/>
      <c r="G12" s="6"/>
      <c r="H12" s="7"/>
      <c r="I12" s="8" t="str">
        <f t="shared" si="0"/>
        <v/>
      </c>
    </row>
    <row r="13" spans="1:9">
      <c r="A13" s="51"/>
      <c r="B13" s="52"/>
      <c r="C13" s="53"/>
      <c r="D13" s="54"/>
      <c r="E13" s="55"/>
      <c r="F13" s="55"/>
      <c r="G13" s="6"/>
      <c r="H13" s="7"/>
      <c r="I13" s="8" t="str">
        <f t="shared" si="0"/>
        <v/>
      </c>
    </row>
    <row r="14" spans="1:9">
      <c r="A14" s="51"/>
      <c r="B14" s="52"/>
      <c r="C14" s="53"/>
      <c r="D14" s="54"/>
      <c r="E14" s="55"/>
      <c r="F14" s="55"/>
      <c r="G14" s="6"/>
      <c r="H14" s="7"/>
      <c r="I14" s="8" t="str">
        <f t="shared" si="0"/>
        <v/>
      </c>
    </row>
    <row r="15" spans="1:9">
      <c r="A15" s="51"/>
      <c r="B15" s="52"/>
      <c r="C15" s="53"/>
      <c r="D15" s="54"/>
      <c r="E15" s="55"/>
      <c r="F15" s="55"/>
      <c r="G15" s="6"/>
      <c r="H15" s="7"/>
      <c r="I15" s="8" t="str">
        <f t="shared" si="0"/>
        <v/>
      </c>
    </row>
    <row r="16" spans="1:9">
      <c r="A16" s="51"/>
      <c r="B16" s="52"/>
      <c r="C16" s="53"/>
      <c r="D16" s="54"/>
      <c r="E16" s="55"/>
      <c r="F16" s="55"/>
      <c r="G16" s="6"/>
      <c r="H16" s="7"/>
      <c r="I16" s="8" t="str">
        <f t="shared" si="0"/>
        <v/>
      </c>
    </row>
    <row r="17" spans="1:11">
      <c r="A17" s="51"/>
      <c r="B17" s="52"/>
      <c r="C17" s="53"/>
      <c r="D17" s="54"/>
      <c r="E17" s="55"/>
      <c r="F17" s="55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9</v>
      </c>
      <c r="B19" s="5" t="s">
        <v>10</v>
      </c>
      <c r="C19" s="4" t="s">
        <v>11</v>
      </c>
      <c r="D19" s="16" t="s">
        <v>12</v>
      </c>
      <c r="E19" s="17" t="s">
        <v>13</v>
      </c>
      <c r="F19" s="16" t="s">
        <v>14</v>
      </c>
      <c r="G19" s="48" t="s">
        <v>15</v>
      </c>
      <c r="H19" s="48"/>
      <c r="I19" s="18"/>
    </row>
    <row r="20" spans="1:11">
      <c r="A20" s="19">
        <f>IF(B20&lt;2,"N/A",(STDEV(H3:H17)))</f>
        <v>198.71821901840013</v>
      </c>
      <c r="B20" s="19">
        <f>COUNT(H3:H17)</f>
        <v>3</v>
      </c>
      <c r="C20" s="20">
        <f>IF(B20&lt;2,"N/A",(A20/D20))</f>
        <v>0.80661722283812354</v>
      </c>
      <c r="D20" s="21">
        <f>ROUND(AVERAGE(H3:H17),2)</f>
        <v>246.36</v>
      </c>
      <c r="E20" s="22">
        <f>IFERROR(ROUND(IF(B20&lt;2,"N/A",(IF(C20&lt;=25%,"N/A",AVERAGE(I3:I17)))),2),"N/A")</f>
        <v>131.83000000000001</v>
      </c>
      <c r="F20" s="22">
        <f>ROUND(MEDIAN(H3:H17),2)</f>
        <v>143.52000000000001</v>
      </c>
      <c r="G20" s="23" t="str">
        <f>INDEX(G3:G17,MATCH(H20,H3:H17,0))</f>
        <v>TRE-SC - UNIMED - Contr. 21/18 - Ap. 20/21</v>
      </c>
      <c r="H20" s="24">
        <f>MIN(H3:H17)</f>
        <v>120.13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49"/>
      <c r="E22" s="49"/>
      <c r="F22" s="30"/>
      <c r="G22" s="31" t="s">
        <v>16</v>
      </c>
      <c r="H22" s="32">
        <f>IF(C20&lt;=25%,D20,MIN(E20:F20))</f>
        <v>131.83000000000001</v>
      </c>
    </row>
    <row r="23" spans="1:11">
      <c r="B23" s="25"/>
      <c r="C23" s="25"/>
      <c r="D23" s="49"/>
      <c r="E23" s="49"/>
      <c r="F23" s="33"/>
      <c r="G23" s="4" t="s">
        <v>17</v>
      </c>
      <c r="H23" s="24">
        <f>ROUND(H22,2)*D3</f>
        <v>10282.740000000002</v>
      </c>
    </row>
    <row r="24" spans="1:11">
      <c r="B24" s="29"/>
      <c r="C24" s="29"/>
      <c r="D24" s="18"/>
      <c r="E24" s="18"/>
    </row>
    <row r="26" spans="1:11" ht="12.75" customHeight="1">
      <c r="A26" s="46" t="s">
        <v>18</v>
      </c>
      <c r="B26" s="46"/>
      <c r="C26" s="46"/>
      <c r="D26" s="46"/>
      <c r="E26" s="46"/>
      <c r="F26" s="46"/>
      <c r="G26" s="46"/>
      <c r="H26" s="46"/>
      <c r="I26" s="46"/>
    </row>
    <row r="27" spans="1:11" ht="12.75" customHeight="1">
      <c r="A27" s="46" t="s">
        <v>19</v>
      </c>
      <c r="B27" s="46"/>
      <c r="C27" s="46"/>
      <c r="D27" s="46"/>
      <c r="E27" s="46"/>
      <c r="F27" s="46"/>
      <c r="G27" s="46"/>
      <c r="H27" s="46"/>
      <c r="I27" s="46"/>
    </row>
    <row r="28" spans="1:11" ht="12.75" customHeight="1">
      <c r="A28" s="46" t="s">
        <v>20</v>
      </c>
      <c r="B28" s="46"/>
      <c r="C28" s="46"/>
      <c r="D28" s="46"/>
      <c r="E28" s="46"/>
      <c r="F28" s="46"/>
      <c r="G28" s="46"/>
      <c r="H28" s="46"/>
      <c r="I28" s="46"/>
    </row>
    <row r="29" spans="1:11" ht="12.75" customHeight="1">
      <c r="A29" s="46" t="s">
        <v>21</v>
      </c>
      <c r="B29" s="46"/>
      <c r="C29" s="46"/>
      <c r="D29" s="46"/>
      <c r="E29" s="46"/>
      <c r="F29" s="46"/>
      <c r="G29" s="46"/>
      <c r="H29" s="46"/>
      <c r="I29" s="46"/>
    </row>
    <row r="30" spans="1:11" ht="12.75" customHeight="1">
      <c r="A30" s="46" t="s">
        <v>22</v>
      </c>
      <c r="B30" s="46"/>
      <c r="C30" s="46"/>
      <c r="D30" s="46"/>
      <c r="E30" s="46"/>
      <c r="F30" s="46"/>
      <c r="G30" s="46"/>
      <c r="H30" s="46"/>
      <c r="I30" s="46"/>
    </row>
    <row r="31" spans="1:11" ht="12.75" customHeight="1">
      <c r="A31" s="46" t="s">
        <v>23</v>
      </c>
      <c r="B31" s="46"/>
      <c r="C31" s="46"/>
      <c r="D31" s="46"/>
      <c r="E31" s="46"/>
      <c r="F31" s="46"/>
      <c r="G31" s="46"/>
      <c r="H31" s="46"/>
      <c r="I31" s="46"/>
    </row>
    <row r="32" spans="1:11" ht="24.75" customHeight="1">
      <c r="A32" s="47" t="s">
        <v>24</v>
      </c>
      <c r="B32" s="47"/>
      <c r="C32" s="47"/>
      <c r="D32" s="47"/>
      <c r="E32" s="47"/>
      <c r="F32" s="47"/>
      <c r="G32" s="47"/>
      <c r="H32" s="47"/>
      <c r="I32" s="47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zoomScaleNormal="100" workbookViewId="0">
      <selection activeCell="H6" sqref="H6"/>
    </sheetView>
  </sheetViews>
  <sheetFormatPr defaultColWidth="9.140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1024" width="9.140625" style="1"/>
  </cols>
  <sheetData>
    <row r="1" spans="1:9" ht="15.75">
      <c r="A1" s="50" t="s">
        <v>0</v>
      </c>
      <c r="B1" s="50"/>
      <c r="C1" s="50"/>
      <c r="D1" s="50"/>
      <c r="E1" s="50"/>
      <c r="F1" s="50"/>
      <c r="G1" s="50"/>
      <c r="H1" s="50"/>
      <c r="I1" s="50"/>
    </row>
    <row r="2" spans="1:9" ht="25.5">
      <c r="A2" s="51" t="s">
        <v>72</v>
      </c>
      <c r="B2" s="2" t="s">
        <v>1</v>
      </c>
      <c r="C2" s="2" t="s">
        <v>2</v>
      </c>
      <c r="D2" s="2" t="s">
        <v>3</v>
      </c>
      <c r="E2" s="3" t="s">
        <v>4</v>
      </c>
      <c r="F2" s="3" t="s">
        <v>5</v>
      </c>
      <c r="G2" s="2" t="s">
        <v>6</v>
      </c>
      <c r="H2" s="4" t="s">
        <v>7</v>
      </c>
      <c r="I2" s="5" t="s">
        <v>8</v>
      </c>
    </row>
    <row r="3" spans="1:9" ht="12.75" customHeight="1">
      <c r="A3" s="51"/>
      <c r="B3" s="52" t="s">
        <v>70</v>
      </c>
      <c r="C3" s="53" t="s">
        <v>60</v>
      </c>
      <c r="D3" s="54">
        <v>41</v>
      </c>
      <c r="E3" s="55">
        <f>IF(C20&lt;=25%,D20,MIN(E20:F20))</f>
        <v>709.46</v>
      </c>
      <c r="F3" s="55">
        <f>MIN(H3:H17)</f>
        <v>701.33</v>
      </c>
      <c r="G3" s="6" t="s">
        <v>78</v>
      </c>
      <c r="H3" s="7">
        <v>2852.56</v>
      </c>
      <c r="I3" s="8" t="str">
        <f t="shared" ref="I3:I17" si="0">IF(H3="","",(IF($C$20&lt;25%,"N/A",IF(H3&lt;=($D$20+$A$20),H3,"Descartado"))))</f>
        <v>Descartado</v>
      </c>
    </row>
    <row r="4" spans="1:9">
      <c r="A4" s="51"/>
      <c r="B4" s="52"/>
      <c r="C4" s="53"/>
      <c r="D4" s="54"/>
      <c r="E4" s="55"/>
      <c r="F4" s="55"/>
      <c r="G4" s="6" t="s">
        <v>79</v>
      </c>
      <c r="H4" s="7">
        <f>663.57*1.0814</f>
        <v>717.58459800000003</v>
      </c>
      <c r="I4" s="8">
        <f t="shared" si="0"/>
        <v>717.58459800000003</v>
      </c>
    </row>
    <row r="5" spans="1:9">
      <c r="A5" s="51"/>
      <c r="B5" s="52"/>
      <c r="C5" s="53"/>
      <c r="D5" s="54"/>
      <c r="E5" s="55"/>
      <c r="F5" s="55"/>
      <c r="G5" s="6" t="s">
        <v>81</v>
      </c>
      <c r="H5" s="7">
        <v>701.33</v>
      </c>
      <c r="I5" s="8">
        <f t="shared" si="0"/>
        <v>701.33</v>
      </c>
    </row>
    <row r="6" spans="1:9">
      <c r="A6" s="51"/>
      <c r="B6" s="52"/>
      <c r="C6" s="53"/>
      <c r="D6" s="54"/>
      <c r="E6" s="55"/>
      <c r="F6" s="55"/>
      <c r="G6" s="6"/>
      <c r="H6" s="7"/>
      <c r="I6" s="8" t="str">
        <f t="shared" si="0"/>
        <v/>
      </c>
    </row>
    <row r="7" spans="1:9">
      <c r="A7" s="51"/>
      <c r="B7" s="52"/>
      <c r="C7" s="53"/>
      <c r="D7" s="54"/>
      <c r="E7" s="55"/>
      <c r="F7" s="55"/>
      <c r="G7" s="6"/>
      <c r="H7" s="7"/>
      <c r="I7" s="8" t="str">
        <f t="shared" si="0"/>
        <v/>
      </c>
    </row>
    <row r="8" spans="1:9">
      <c r="A8" s="51"/>
      <c r="B8" s="52"/>
      <c r="C8" s="53"/>
      <c r="D8" s="54"/>
      <c r="E8" s="55"/>
      <c r="F8" s="55"/>
      <c r="G8" s="6"/>
      <c r="H8" s="7"/>
      <c r="I8" s="8" t="str">
        <f t="shared" si="0"/>
        <v/>
      </c>
    </row>
    <row r="9" spans="1:9">
      <c r="A9" s="51"/>
      <c r="B9" s="52"/>
      <c r="C9" s="53"/>
      <c r="D9" s="54"/>
      <c r="E9" s="55"/>
      <c r="F9" s="55"/>
      <c r="G9" s="6"/>
      <c r="H9" s="7"/>
      <c r="I9" s="8" t="str">
        <f t="shared" si="0"/>
        <v/>
      </c>
    </row>
    <row r="10" spans="1:9">
      <c r="A10" s="51"/>
      <c r="B10" s="52"/>
      <c r="C10" s="53"/>
      <c r="D10" s="54"/>
      <c r="E10" s="55"/>
      <c r="F10" s="55"/>
      <c r="G10" s="6"/>
      <c r="H10" s="7"/>
      <c r="I10" s="8" t="str">
        <f t="shared" si="0"/>
        <v/>
      </c>
    </row>
    <row r="11" spans="1:9">
      <c r="A11" s="51"/>
      <c r="B11" s="52"/>
      <c r="C11" s="53"/>
      <c r="D11" s="54"/>
      <c r="E11" s="55"/>
      <c r="F11" s="55"/>
      <c r="G11" s="6"/>
      <c r="H11" s="7"/>
      <c r="I11" s="8" t="str">
        <f t="shared" si="0"/>
        <v/>
      </c>
    </row>
    <row r="12" spans="1:9">
      <c r="A12" s="51"/>
      <c r="B12" s="52"/>
      <c r="C12" s="53"/>
      <c r="D12" s="54"/>
      <c r="E12" s="55"/>
      <c r="F12" s="55"/>
      <c r="G12" s="6"/>
      <c r="H12" s="7"/>
      <c r="I12" s="8" t="str">
        <f t="shared" si="0"/>
        <v/>
      </c>
    </row>
    <row r="13" spans="1:9">
      <c r="A13" s="51"/>
      <c r="B13" s="52"/>
      <c r="C13" s="53"/>
      <c r="D13" s="54"/>
      <c r="E13" s="55"/>
      <c r="F13" s="55"/>
      <c r="G13" s="6"/>
      <c r="H13" s="7"/>
      <c r="I13" s="8" t="str">
        <f t="shared" si="0"/>
        <v/>
      </c>
    </row>
    <row r="14" spans="1:9">
      <c r="A14" s="51"/>
      <c r="B14" s="52"/>
      <c r="C14" s="53"/>
      <c r="D14" s="54"/>
      <c r="E14" s="55"/>
      <c r="F14" s="55"/>
      <c r="G14" s="6"/>
      <c r="H14" s="7"/>
      <c r="I14" s="8" t="str">
        <f t="shared" si="0"/>
        <v/>
      </c>
    </row>
    <row r="15" spans="1:9">
      <c r="A15" s="51"/>
      <c r="B15" s="52"/>
      <c r="C15" s="53"/>
      <c r="D15" s="54"/>
      <c r="E15" s="55"/>
      <c r="F15" s="55"/>
      <c r="G15" s="6"/>
      <c r="H15" s="7"/>
      <c r="I15" s="8" t="str">
        <f t="shared" si="0"/>
        <v/>
      </c>
    </row>
    <row r="16" spans="1:9">
      <c r="A16" s="51"/>
      <c r="B16" s="52"/>
      <c r="C16" s="53"/>
      <c r="D16" s="54"/>
      <c r="E16" s="55"/>
      <c r="F16" s="55"/>
      <c r="G16" s="6"/>
      <c r="H16" s="7"/>
      <c r="I16" s="8" t="str">
        <f t="shared" si="0"/>
        <v/>
      </c>
    </row>
    <row r="17" spans="1:11">
      <c r="A17" s="51"/>
      <c r="B17" s="52"/>
      <c r="C17" s="53"/>
      <c r="D17" s="54"/>
      <c r="E17" s="55"/>
      <c r="F17" s="55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9</v>
      </c>
      <c r="B19" s="5" t="s">
        <v>10</v>
      </c>
      <c r="C19" s="4" t="s">
        <v>11</v>
      </c>
      <c r="D19" s="16" t="s">
        <v>12</v>
      </c>
      <c r="E19" s="17" t="s">
        <v>13</v>
      </c>
      <c r="F19" s="16" t="s">
        <v>14</v>
      </c>
      <c r="G19" s="48" t="s">
        <v>15</v>
      </c>
      <c r="H19" s="48"/>
      <c r="I19" s="18"/>
    </row>
    <row r="20" spans="1:11">
      <c r="A20" s="19">
        <f>IF(B20&lt;2,"N/A",(STDEV(H3:H17)))</f>
        <v>1237.3476129744354</v>
      </c>
      <c r="B20" s="19">
        <f>COUNT(H3:H17)</f>
        <v>3</v>
      </c>
      <c r="C20" s="20">
        <f>IF(B20&lt;2,"N/A",(A20/D20))</f>
        <v>0.86903373528566497</v>
      </c>
      <c r="D20" s="21">
        <f>ROUND(AVERAGE(H3:H17),2)</f>
        <v>1423.82</v>
      </c>
      <c r="E20" s="22">
        <f>IFERROR(ROUND(IF(B20&lt;2,"N/A",(IF(C20&lt;=25%,"N/A",AVERAGE(I3:I17)))),2),"N/A")</f>
        <v>709.46</v>
      </c>
      <c r="F20" s="22">
        <f>ROUND(MEDIAN(H3:H17),2)</f>
        <v>717.58</v>
      </c>
      <c r="G20" s="23" t="str">
        <f>INDEX(G3:G17,MATCH(H20,H3:H17,0))</f>
        <v>TRE-SC - UNIMED - Contr. 21/18 - Ap. 20/21</v>
      </c>
      <c r="H20" s="24">
        <f>MIN(H3:H17)</f>
        <v>701.33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49"/>
      <c r="E22" s="49"/>
      <c r="F22" s="30"/>
      <c r="G22" s="31" t="s">
        <v>16</v>
      </c>
      <c r="H22" s="32">
        <f>IF(C20&lt;=25%,D20,MIN(E20:F20))</f>
        <v>709.46</v>
      </c>
    </row>
    <row r="23" spans="1:11">
      <c r="B23" s="25"/>
      <c r="C23" s="25"/>
      <c r="D23" s="49"/>
      <c r="E23" s="49"/>
      <c r="F23" s="33"/>
      <c r="G23" s="4" t="s">
        <v>17</v>
      </c>
      <c r="H23" s="24">
        <f>ROUND(H22,2)*D3</f>
        <v>29087.86</v>
      </c>
    </row>
    <row r="24" spans="1:11">
      <c r="B24" s="29"/>
      <c r="C24" s="29"/>
      <c r="D24" s="18"/>
      <c r="E24" s="18"/>
    </row>
    <row r="26" spans="1:11" ht="12.75" customHeight="1">
      <c r="A26" s="46" t="s">
        <v>18</v>
      </c>
      <c r="B26" s="46"/>
      <c r="C26" s="46"/>
      <c r="D26" s="46"/>
      <c r="E26" s="46"/>
      <c r="F26" s="46"/>
      <c r="G26" s="46"/>
      <c r="H26" s="46"/>
      <c r="I26" s="46"/>
    </row>
    <row r="27" spans="1:11" ht="12.75" customHeight="1">
      <c r="A27" s="46" t="s">
        <v>19</v>
      </c>
      <c r="B27" s="46"/>
      <c r="C27" s="46"/>
      <c r="D27" s="46"/>
      <c r="E27" s="46"/>
      <c r="F27" s="46"/>
      <c r="G27" s="46"/>
      <c r="H27" s="46"/>
      <c r="I27" s="46"/>
    </row>
    <row r="28" spans="1:11" ht="12.75" customHeight="1">
      <c r="A28" s="46" t="s">
        <v>20</v>
      </c>
      <c r="B28" s="46"/>
      <c r="C28" s="46"/>
      <c r="D28" s="46"/>
      <c r="E28" s="46"/>
      <c r="F28" s="46"/>
      <c r="G28" s="46"/>
      <c r="H28" s="46"/>
      <c r="I28" s="46"/>
    </row>
    <row r="29" spans="1:11" ht="12.75" customHeight="1">
      <c r="A29" s="46" t="s">
        <v>21</v>
      </c>
      <c r="B29" s="46"/>
      <c r="C29" s="46"/>
      <c r="D29" s="46"/>
      <c r="E29" s="46"/>
      <c r="F29" s="46"/>
      <c r="G29" s="46"/>
      <c r="H29" s="46"/>
      <c r="I29" s="46"/>
    </row>
    <row r="30" spans="1:11" ht="12.75" customHeight="1">
      <c r="A30" s="46" t="s">
        <v>22</v>
      </c>
      <c r="B30" s="46"/>
      <c r="C30" s="46"/>
      <c r="D30" s="46"/>
      <c r="E30" s="46"/>
      <c r="F30" s="46"/>
      <c r="G30" s="46"/>
      <c r="H30" s="46"/>
      <c r="I30" s="46"/>
    </row>
    <row r="31" spans="1:11" ht="12.75" customHeight="1">
      <c r="A31" s="46" t="s">
        <v>23</v>
      </c>
      <c r="B31" s="46"/>
      <c r="C31" s="46"/>
      <c r="D31" s="46"/>
      <c r="E31" s="46"/>
      <c r="F31" s="46"/>
      <c r="G31" s="46"/>
      <c r="H31" s="46"/>
      <c r="I31" s="46"/>
    </row>
    <row r="32" spans="1:11" ht="24.75" customHeight="1">
      <c r="A32" s="47" t="s">
        <v>24</v>
      </c>
      <c r="B32" s="47"/>
      <c r="C32" s="47"/>
      <c r="D32" s="47"/>
      <c r="E32" s="47"/>
      <c r="F32" s="47"/>
      <c r="G32" s="47"/>
      <c r="H32" s="47"/>
      <c r="I32" s="47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zoomScaleNormal="100" workbookViewId="0">
      <selection activeCell="H6" sqref="H6"/>
    </sheetView>
  </sheetViews>
  <sheetFormatPr defaultColWidth="9.140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1024" width="9.140625" style="1"/>
  </cols>
  <sheetData>
    <row r="1" spans="1:9" ht="15.75">
      <c r="A1" s="50" t="s">
        <v>0</v>
      </c>
      <c r="B1" s="50"/>
      <c r="C1" s="50"/>
      <c r="D1" s="50"/>
      <c r="E1" s="50"/>
      <c r="F1" s="50"/>
      <c r="G1" s="50"/>
      <c r="H1" s="50"/>
      <c r="I1" s="50"/>
    </row>
    <row r="2" spans="1:9" ht="25.5">
      <c r="A2" s="51" t="s">
        <v>71</v>
      </c>
      <c r="B2" s="2" t="s">
        <v>1</v>
      </c>
      <c r="C2" s="2" t="s">
        <v>2</v>
      </c>
      <c r="D2" s="2" t="s">
        <v>3</v>
      </c>
      <c r="E2" s="3" t="s">
        <v>4</v>
      </c>
      <c r="F2" s="3" t="s">
        <v>5</v>
      </c>
      <c r="G2" s="2" t="s">
        <v>6</v>
      </c>
      <c r="H2" s="4" t="s">
        <v>7</v>
      </c>
      <c r="I2" s="5" t="s">
        <v>8</v>
      </c>
    </row>
    <row r="3" spans="1:9" ht="12.75" customHeight="1">
      <c r="A3" s="51"/>
      <c r="B3" s="52" t="s">
        <v>61</v>
      </c>
      <c r="C3" s="53" t="s">
        <v>60</v>
      </c>
      <c r="D3" s="54">
        <v>141</v>
      </c>
      <c r="E3" s="55">
        <f>IF(C20&lt;=25%,D20,MIN(E20:F20))</f>
        <v>179.72</v>
      </c>
      <c r="F3" s="55">
        <f>MIN(H3:H17)</f>
        <v>165.83</v>
      </c>
      <c r="G3" s="6" t="s">
        <v>78</v>
      </c>
      <c r="H3" s="7">
        <v>570.35</v>
      </c>
      <c r="I3" s="8" t="str">
        <f t="shared" ref="I3:I17" si="0">IF(H3="","",(IF($C$20&lt;25%,"N/A",IF(H3&lt;=($D$20+$A$20),H3,"Descartado"))))</f>
        <v>Descartado</v>
      </c>
    </row>
    <row r="4" spans="1:9">
      <c r="A4" s="51"/>
      <c r="B4" s="52"/>
      <c r="C4" s="53"/>
      <c r="D4" s="54"/>
      <c r="E4" s="55"/>
      <c r="F4" s="55"/>
      <c r="G4" s="6" t="s">
        <v>79</v>
      </c>
      <c r="H4" s="7">
        <f>179.04*1.0814</f>
        <v>193.61385599999997</v>
      </c>
      <c r="I4" s="8">
        <f t="shared" si="0"/>
        <v>193.61385599999997</v>
      </c>
    </row>
    <row r="5" spans="1:9">
      <c r="A5" s="51"/>
      <c r="B5" s="52"/>
      <c r="C5" s="53"/>
      <c r="D5" s="54"/>
      <c r="E5" s="55"/>
      <c r="F5" s="55"/>
      <c r="G5" s="6" t="s">
        <v>80</v>
      </c>
      <c r="H5" s="7">
        <v>165.83</v>
      </c>
      <c r="I5" s="8">
        <f t="shared" si="0"/>
        <v>165.83</v>
      </c>
    </row>
    <row r="6" spans="1:9">
      <c r="A6" s="51"/>
      <c r="B6" s="52"/>
      <c r="C6" s="53"/>
      <c r="D6" s="54"/>
      <c r="E6" s="55"/>
      <c r="F6" s="55"/>
      <c r="G6" s="6"/>
      <c r="H6" s="7"/>
      <c r="I6" s="8" t="str">
        <f t="shared" si="0"/>
        <v/>
      </c>
    </row>
    <row r="7" spans="1:9">
      <c r="A7" s="51"/>
      <c r="B7" s="52"/>
      <c r="C7" s="53"/>
      <c r="D7" s="54"/>
      <c r="E7" s="55"/>
      <c r="F7" s="55"/>
      <c r="G7" s="6"/>
      <c r="H7" s="7"/>
      <c r="I7" s="8" t="str">
        <f t="shared" si="0"/>
        <v/>
      </c>
    </row>
    <row r="8" spans="1:9">
      <c r="A8" s="51"/>
      <c r="B8" s="52"/>
      <c r="C8" s="53"/>
      <c r="D8" s="54"/>
      <c r="E8" s="55"/>
      <c r="F8" s="55"/>
      <c r="G8" s="6"/>
      <c r="H8" s="7"/>
      <c r="I8" s="8" t="str">
        <f t="shared" si="0"/>
        <v/>
      </c>
    </row>
    <row r="9" spans="1:9">
      <c r="A9" s="51"/>
      <c r="B9" s="52"/>
      <c r="C9" s="53"/>
      <c r="D9" s="54"/>
      <c r="E9" s="55"/>
      <c r="F9" s="55"/>
      <c r="G9" s="6"/>
      <c r="H9" s="7"/>
      <c r="I9" s="8" t="str">
        <f t="shared" si="0"/>
        <v/>
      </c>
    </row>
    <row r="10" spans="1:9">
      <c r="A10" s="51"/>
      <c r="B10" s="52"/>
      <c r="C10" s="53"/>
      <c r="D10" s="54"/>
      <c r="E10" s="55"/>
      <c r="F10" s="55"/>
      <c r="G10" s="6"/>
      <c r="H10" s="7"/>
      <c r="I10" s="8" t="str">
        <f t="shared" si="0"/>
        <v/>
      </c>
    </row>
    <row r="11" spans="1:9">
      <c r="A11" s="51"/>
      <c r="B11" s="52"/>
      <c r="C11" s="53"/>
      <c r="D11" s="54"/>
      <c r="E11" s="55"/>
      <c r="F11" s="55"/>
      <c r="G11" s="6"/>
      <c r="H11" s="7"/>
      <c r="I11" s="8" t="str">
        <f t="shared" si="0"/>
        <v/>
      </c>
    </row>
    <row r="12" spans="1:9">
      <c r="A12" s="51"/>
      <c r="B12" s="52"/>
      <c r="C12" s="53"/>
      <c r="D12" s="54"/>
      <c r="E12" s="55"/>
      <c r="F12" s="55"/>
      <c r="G12" s="6"/>
      <c r="H12" s="7"/>
      <c r="I12" s="8" t="str">
        <f t="shared" si="0"/>
        <v/>
      </c>
    </row>
    <row r="13" spans="1:9">
      <c r="A13" s="51"/>
      <c r="B13" s="52"/>
      <c r="C13" s="53"/>
      <c r="D13" s="54"/>
      <c r="E13" s="55"/>
      <c r="F13" s="55"/>
      <c r="G13" s="6"/>
      <c r="H13" s="7"/>
      <c r="I13" s="8" t="str">
        <f t="shared" si="0"/>
        <v/>
      </c>
    </row>
    <row r="14" spans="1:9">
      <c r="A14" s="51"/>
      <c r="B14" s="52"/>
      <c r="C14" s="53"/>
      <c r="D14" s="54"/>
      <c r="E14" s="55"/>
      <c r="F14" s="55"/>
      <c r="G14" s="6"/>
      <c r="H14" s="7"/>
      <c r="I14" s="8" t="str">
        <f t="shared" si="0"/>
        <v/>
      </c>
    </row>
    <row r="15" spans="1:9">
      <c r="A15" s="51"/>
      <c r="B15" s="52"/>
      <c r="C15" s="53"/>
      <c r="D15" s="54"/>
      <c r="E15" s="55"/>
      <c r="F15" s="55"/>
      <c r="G15" s="6"/>
      <c r="H15" s="7"/>
      <c r="I15" s="8" t="str">
        <f t="shared" si="0"/>
        <v/>
      </c>
    </row>
    <row r="16" spans="1:9">
      <c r="A16" s="51"/>
      <c r="B16" s="52"/>
      <c r="C16" s="53"/>
      <c r="D16" s="54"/>
      <c r="E16" s="55"/>
      <c r="F16" s="55"/>
      <c r="G16" s="6"/>
      <c r="H16" s="7"/>
      <c r="I16" s="8" t="str">
        <f t="shared" si="0"/>
        <v/>
      </c>
    </row>
    <row r="17" spans="1:11">
      <c r="A17" s="51"/>
      <c r="B17" s="52"/>
      <c r="C17" s="53"/>
      <c r="D17" s="54"/>
      <c r="E17" s="55"/>
      <c r="F17" s="55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9</v>
      </c>
      <c r="B19" s="5" t="s">
        <v>10</v>
      </c>
      <c r="C19" s="4" t="s">
        <v>11</v>
      </c>
      <c r="D19" s="16" t="s">
        <v>12</v>
      </c>
      <c r="E19" s="17" t="s">
        <v>13</v>
      </c>
      <c r="F19" s="16" t="s">
        <v>14</v>
      </c>
      <c r="G19" s="48" t="s">
        <v>15</v>
      </c>
      <c r="H19" s="48"/>
      <c r="I19" s="18"/>
    </row>
    <row r="20" spans="1:11">
      <c r="A20" s="19">
        <f>IF(B20&lt;2,"N/A",(STDEV(H3:H17)))</f>
        <v>225.95666813580925</v>
      </c>
      <c r="B20" s="19">
        <f>COUNT(H3:H17)</f>
        <v>3</v>
      </c>
      <c r="C20" s="20">
        <f>IF(B20&lt;2,"N/A",(A20/D20))</f>
        <v>0.72905710365504872</v>
      </c>
      <c r="D20" s="21">
        <f>ROUND(AVERAGE(H3:H17),2)</f>
        <v>309.93</v>
      </c>
      <c r="E20" s="22">
        <f>IFERROR(ROUND(IF(B20&lt;2,"N/A",(IF(C20&lt;=25%,"N/A",AVERAGE(I3:I17)))),2),"N/A")</f>
        <v>179.72</v>
      </c>
      <c r="F20" s="22">
        <f>ROUND(MEDIAN(H3:H17),2)</f>
        <v>193.61</v>
      </c>
      <c r="G20" s="23" t="str">
        <f>INDEX(G3:G17,MATCH(H20,H3:H17,0))</f>
        <v>TRE-SC - UNIMED - Contr. 18/18 - Ap. 20/21</v>
      </c>
      <c r="H20" s="24">
        <f>MIN(H3:H17)</f>
        <v>165.83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49"/>
      <c r="E22" s="49"/>
      <c r="F22" s="30"/>
      <c r="G22" s="31" t="s">
        <v>16</v>
      </c>
      <c r="H22" s="32">
        <f>IF(C20&lt;=25%,D20,MIN(E20:F20))</f>
        <v>179.72</v>
      </c>
    </row>
    <row r="23" spans="1:11">
      <c r="B23" s="25"/>
      <c r="C23" s="25"/>
      <c r="D23" s="49"/>
      <c r="E23" s="49"/>
      <c r="F23" s="33"/>
      <c r="G23" s="4" t="s">
        <v>17</v>
      </c>
      <c r="H23" s="24">
        <f>ROUND(H22,2)*D3</f>
        <v>25340.52</v>
      </c>
    </row>
    <row r="24" spans="1:11">
      <c r="B24" s="29"/>
      <c r="C24" s="29"/>
      <c r="D24" s="18"/>
      <c r="E24" s="18"/>
    </row>
    <row r="26" spans="1:11" ht="12.75" customHeight="1">
      <c r="A26" s="46" t="s">
        <v>18</v>
      </c>
      <c r="B26" s="46"/>
      <c r="C26" s="46"/>
      <c r="D26" s="46"/>
      <c r="E26" s="46"/>
      <c r="F26" s="46"/>
      <c r="G26" s="46"/>
      <c r="H26" s="46"/>
      <c r="I26" s="46"/>
    </row>
    <row r="27" spans="1:11" ht="12.75" customHeight="1">
      <c r="A27" s="46" t="s">
        <v>19</v>
      </c>
      <c r="B27" s="46"/>
      <c r="C27" s="46"/>
      <c r="D27" s="46"/>
      <c r="E27" s="46"/>
      <c r="F27" s="46"/>
      <c r="G27" s="46"/>
      <c r="H27" s="46"/>
      <c r="I27" s="46"/>
    </row>
    <row r="28" spans="1:11" ht="12.75" customHeight="1">
      <c r="A28" s="46" t="s">
        <v>20</v>
      </c>
      <c r="B28" s="46"/>
      <c r="C28" s="46"/>
      <c r="D28" s="46"/>
      <c r="E28" s="46"/>
      <c r="F28" s="46"/>
      <c r="G28" s="46"/>
      <c r="H28" s="46"/>
      <c r="I28" s="46"/>
    </row>
    <row r="29" spans="1:11" ht="12.75" customHeight="1">
      <c r="A29" s="46" t="s">
        <v>21</v>
      </c>
      <c r="B29" s="46"/>
      <c r="C29" s="46"/>
      <c r="D29" s="46"/>
      <c r="E29" s="46"/>
      <c r="F29" s="46"/>
      <c r="G29" s="46"/>
      <c r="H29" s="46"/>
      <c r="I29" s="46"/>
    </row>
    <row r="30" spans="1:11" ht="12.75" customHeight="1">
      <c r="A30" s="46" t="s">
        <v>22</v>
      </c>
      <c r="B30" s="46"/>
      <c r="C30" s="46"/>
      <c r="D30" s="46"/>
      <c r="E30" s="46"/>
      <c r="F30" s="46"/>
      <c r="G30" s="46"/>
      <c r="H30" s="46"/>
      <c r="I30" s="46"/>
    </row>
    <row r="31" spans="1:11" ht="12.75" customHeight="1">
      <c r="A31" s="46" t="s">
        <v>23</v>
      </c>
      <c r="B31" s="46"/>
      <c r="C31" s="46"/>
      <c r="D31" s="46"/>
      <c r="E31" s="46"/>
      <c r="F31" s="46"/>
      <c r="G31" s="46"/>
      <c r="H31" s="46"/>
      <c r="I31" s="46"/>
    </row>
    <row r="32" spans="1:11" ht="24.75" customHeight="1">
      <c r="A32" s="47" t="s">
        <v>24</v>
      </c>
      <c r="B32" s="47"/>
      <c r="C32" s="47"/>
      <c r="D32" s="47"/>
      <c r="E32" s="47"/>
      <c r="F32" s="47"/>
      <c r="G32" s="47"/>
      <c r="H32" s="47"/>
      <c r="I32" s="47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zoomScaleNormal="100" workbookViewId="0">
      <selection activeCell="H6" sqref="H6"/>
    </sheetView>
  </sheetViews>
  <sheetFormatPr defaultColWidth="9.140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1024" width="9.140625" style="1"/>
  </cols>
  <sheetData>
    <row r="1" spans="1:9" ht="15.75">
      <c r="A1" s="50" t="s">
        <v>0</v>
      </c>
      <c r="B1" s="50"/>
      <c r="C1" s="50"/>
      <c r="D1" s="50"/>
      <c r="E1" s="50"/>
      <c r="F1" s="50"/>
      <c r="G1" s="50"/>
      <c r="H1" s="50"/>
      <c r="I1" s="50"/>
    </row>
    <row r="2" spans="1:9" ht="25.5">
      <c r="A2" s="51" t="s">
        <v>71</v>
      </c>
      <c r="B2" s="2" t="s">
        <v>1</v>
      </c>
      <c r="C2" s="2" t="s">
        <v>2</v>
      </c>
      <c r="D2" s="2" t="s">
        <v>3</v>
      </c>
      <c r="E2" s="3" t="s">
        <v>4</v>
      </c>
      <c r="F2" s="3" t="s">
        <v>5</v>
      </c>
      <c r="G2" s="2" t="s">
        <v>6</v>
      </c>
      <c r="H2" s="4" t="s">
        <v>7</v>
      </c>
      <c r="I2" s="5" t="s">
        <v>8</v>
      </c>
    </row>
    <row r="3" spans="1:9" ht="12.75" customHeight="1">
      <c r="A3" s="51"/>
      <c r="B3" s="52" t="s">
        <v>63</v>
      </c>
      <c r="C3" s="53" t="s">
        <v>60</v>
      </c>
      <c r="D3" s="54">
        <v>33</v>
      </c>
      <c r="E3" s="55">
        <f>IF(C20&lt;=25%,D20,MIN(E20:F20))</f>
        <v>227.54</v>
      </c>
      <c r="F3" s="55">
        <f>MIN(H3:H17)</f>
        <v>207.28</v>
      </c>
      <c r="G3" s="6" t="s">
        <v>78</v>
      </c>
      <c r="H3" s="7">
        <v>647.9</v>
      </c>
      <c r="I3" s="8" t="str">
        <f t="shared" ref="I3:I17" si="0">IF(H3="","",(IF($C$20&lt;25%,"N/A",IF(H3&lt;=($D$20+$A$20),H3,"Descartado"))))</f>
        <v>Descartado</v>
      </c>
    </row>
    <row r="4" spans="1:9">
      <c r="A4" s="51"/>
      <c r="B4" s="52"/>
      <c r="C4" s="53"/>
      <c r="D4" s="54"/>
      <c r="E4" s="55"/>
      <c r="F4" s="55"/>
      <c r="G4" s="6" t="s">
        <v>79</v>
      </c>
      <c r="H4" s="7">
        <f>229.15*1.0814</f>
        <v>247.80280999999999</v>
      </c>
      <c r="I4" s="8">
        <f t="shared" si="0"/>
        <v>247.80280999999999</v>
      </c>
    </row>
    <row r="5" spans="1:9">
      <c r="A5" s="51"/>
      <c r="B5" s="52"/>
      <c r="C5" s="53"/>
      <c r="D5" s="54"/>
      <c r="E5" s="55"/>
      <c r="F5" s="55"/>
      <c r="G5" s="6" t="s">
        <v>80</v>
      </c>
      <c r="H5" s="7">
        <v>207.28</v>
      </c>
      <c r="I5" s="8">
        <f t="shared" si="0"/>
        <v>207.28</v>
      </c>
    </row>
    <row r="6" spans="1:9">
      <c r="A6" s="51"/>
      <c r="B6" s="52"/>
      <c r="C6" s="53"/>
      <c r="D6" s="54"/>
      <c r="E6" s="55"/>
      <c r="F6" s="55"/>
      <c r="G6" s="6"/>
      <c r="H6" s="7"/>
      <c r="I6" s="8" t="str">
        <f t="shared" si="0"/>
        <v/>
      </c>
    </row>
    <row r="7" spans="1:9">
      <c r="A7" s="51"/>
      <c r="B7" s="52"/>
      <c r="C7" s="53"/>
      <c r="D7" s="54"/>
      <c r="E7" s="55"/>
      <c r="F7" s="55"/>
      <c r="G7" s="6"/>
      <c r="H7" s="7"/>
      <c r="I7" s="8" t="str">
        <f t="shared" si="0"/>
        <v/>
      </c>
    </row>
    <row r="8" spans="1:9">
      <c r="A8" s="51"/>
      <c r="B8" s="52"/>
      <c r="C8" s="53"/>
      <c r="D8" s="54"/>
      <c r="E8" s="55"/>
      <c r="F8" s="55"/>
      <c r="G8" s="6"/>
      <c r="H8" s="7"/>
      <c r="I8" s="8" t="str">
        <f t="shared" si="0"/>
        <v/>
      </c>
    </row>
    <row r="9" spans="1:9">
      <c r="A9" s="51"/>
      <c r="B9" s="52"/>
      <c r="C9" s="53"/>
      <c r="D9" s="54"/>
      <c r="E9" s="55"/>
      <c r="F9" s="55"/>
      <c r="G9" s="6"/>
      <c r="H9" s="7"/>
      <c r="I9" s="8" t="str">
        <f t="shared" si="0"/>
        <v/>
      </c>
    </row>
    <row r="10" spans="1:9">
      <c r="A10" s="51"/>
      <c r="B10" s="52"/>
      <c r="C10" s="53"/>
      <c r="D10" s="54"/>
      <c r="E10" s="55"/>
      <c r="F10" s="55"/>
      <c r="G10" s="6"/>
      <c r="H10" s="7"/>
      <c r="I10" s="8" t="str">
        <f t="shared" si="0"/>
        <v/>
      </c>
    </row>
    <row r="11" spans="1:9">
      <c r="A11" s="51"/>
      <c r="B11" s="52"/>
      <c r="C11" s="53"/>
      <c r="D11" s="54"/>
      <c r="E11" s="55"/>
      <c r="F11" s="55"/>
      <c r="G11" s="6"/>
      <c r="H11" s="7"/>
      <c r="I11" s="8" t="str">
        <f t="shared" si="0"/>
        <v/>
      </c>
    </row>
    <row r="12" spans="1:9">
      <c r="A12" s="51"/>
      <c r="B12" s="52"/>
      <c r="C12" s="53"/>
      <c r="D12" s="54"/>
      <c r="E12" s="55"/>
      <c r="F12" s="55"/>
      <c r="G12" s="6"/>
      <c r="H12" s="7"/>
      <c r="I12" s="8" t="str">
        <f t="shared" si="0"/>
        <v/>
      </c>
    </row>
    <row r="13" spans="1:9">
      <c r="A13" s="51"/>
      <c r="B13" s="52"/>
      <c r="C13" s="53"/>
      <c r="D13" s="54"/>
      <c r="E13" s="55"/>
      <c r="F13" s="55"/>
      <c r="G13" s="6"/>
      <c r="H13" s="7"/>
      <c r="I13" s="8" t="str">
        <f t="shared" si="0"/>
        <v/>
      </c>
    </row>
    <row r="14" spans="1:9">
      <c r="A14" s="51"/>
      <c r="B14" s="52"/>
      <c r="C14" s="53"/>
      <c r="D14" s="54"/>
      <c r="E14" s="55"/>
      <c r="F14" s="55"/>
      <c r="G14" s="6"/>
      <c r="H14" s="7"/>
      <c r="I14" s="8" t="str">
        <f t="shared" si="0"/>
        <v/>
      </c>
    </row>
    <row r="15" spans="1:9">
      <c r="A15" s="51"/>
      <c r="B15" s="52"/>
      <c r="C15" s="53"/>
      <c r="D15" s="54"/>
      <c r="E15" s="55"/>
      <c r="F15" s="55"/>
      <c r="G15" s="6"/>
      <c r="H15" s="7"/>
      <c r="I15" s="8" t="str">
        <f t="shared" si="0"/>
        <v/>
      </c>
    </row>
    <row r="16" spans="1:9">
      <c r="A16" s="51"/>
      <c r="B16" s="52"/>
      <c r="C16" s="53"/>
      <c r="D16" s="54"/>
      <c r="E16" s="55"/>
      <c r="F16" s="55"/>
      <c r="G16" s="6"/>
      <c r="H16" s="7"/>
      <c r="I16" s="8" t="str">
        <f t="shared" si="0"/>
        <v/>
      </c>
    </row>
    <row r="17" spans="1:11">
      <c r="A17" s="51"/>
      <c r="B17" s="52"/>
      <c r="C17" s="53"/>
      <c r="D17" s="54"/>
      <c r="E17" s="55"/>
      <c r="F17" s="55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9</v>
      </c>
      <c r="B19" s="5" t="s">
        <v>10</v>
      </c>
      <c r="C19" s="4" t="s">
        <v>11</v>
      </c>
      <c r="D19" s="16" t="s">
        <v>12</v>
      </c>
      <c r="E19" s="17" t="s">
        <v>13</v>
      </c>
      <c r="F19" s="16" t="s">
        <v>14</v>
      </c>
      <c r="G19" s="48" t="s">
        <v>15</v>
      </c>
      <c r="H19" s="48"/>
      <c r="I19" s="18"/>
    </row>
    <row r="20" spans="1:11">
      <c r="A20" s="19">
        <f>IF(B20&lt;2,"N/A",(STDEV(H3:H17)))</f>
        <v>243.5384445955751</v>
      </c>
      <c r="B20" s="19">
        <f>COUNT(H3:H17)</f>
        <v>3</v>
      </c>
      <c r="C20" s="20">
        <f>IF(B20&lt;2,"N/A",(A20/D20))</f>
        <v>0.66240125277586648</v>
      </c>
      <c r="D20" s="21">
        <f>ROUND(AVERAGE(H3:H17),2)</f>
        <v>367.66</v>
      </c>
      <c r="E20" s="22">
        <f>IFERROR(ROUND(IF(B20&lt;2,"N/A",(IF(C20&lt;=25%,"N/A",AVERAGE(I3:I17)))),2),"N/A")</f>
        <v>227.54</v>
      </c>
      <c r="F20" s="22">
        <f>ROUND(MEDIAN(H3:H17),2)</f>
        <v>247.8</v>
      </c>
      <c r="G20" s="23" t="str">
        <f>INDEX(G3:G17,MATCH(H20,H3:H17,0))</f>
        <v>TRE-SC - UNIMED - Contr. 18/18 - Ap. 20/21</v>
      </c>
      <c r="H20" s="24">
        <f>MIN(H3:H17)</f>
        <v>207.28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49"/>
      <c r="E22" s="49"/>
      <c r="F22" s="30"/>
      <c r="G22" s="31" t="s">
        <v>16</v>
      </c>
      <c r="H22" s="32">
        <f>IF(C20&lt;=25%,D20,MIN(E20:F20))</f>
        <v>227.54</v>
      </c>
    </row>
    <row r="23" spans="1:11">
      <c r="B23" s="25"/>
      <c r="C23" s="25"/>
      <c r="D23" s="49"/>
      <c r="E23" s="49"/>
      <c r="F23" s="33"/>
      <c r="G23" s="4" t="s">
        <v>17</v>
      </c>
      <c r="H23" s="24">
        <f>ROUND(H22,2)*D3</f>
        <v>7508.82</v>
      </c>
    </row>
    <row r="24" spans="1:11">
      <c r="B24" s="29"/>
      <c r="C24" s="29"/>
      <c r="D24" s="18"/>
      <c r="E24" s="18"/>
    </row>
    <row r="26" spans="1:11" ht="12.75" customHeight="1">
      <c r="A26" s="46" t="s">
        <v>18</v>
      </c>
      <c r="B26" s="46"/>
      <c r="C26" s="46"/>
      <c r="D26" s="46"/>
      <c r="E26" s="46"/>
      <c r="F26" s="46"/>
      <c r="G26" s="46"/>
      <c r="H26" s="46"/>
      <c r="I26" s="46"/>
    </row>
    <row r="27" spans="1:11" ht="12.75" customHeight="1">
      <c r="A27" s="46" t="s">
        <v>19</v>
      </c>
      <c r="B27" s="46"/>
      <c r="C27" s="46"/>
      <c r="D27" s="46"/>
      <c r="E27" s="46"/>
      <c r="F27" s="46"/>
      <c r="G27" s="46"/>
      <c r="H27" s="46"/>
      <c r="I27" s="46"/>
    </row>
    <row r="28" spans="1:11" ht="12.75" customHeight="1">
      <c r="A28" s="46" t="s">
        <v>20</v>
      </c>
      <c r="B28" s="46"/>
      <c r="C28" s="46"/>
      <c r="D28" s="46"/>
      <c r="E28" s="46"/>
      <c r="F28" s="46"/>
      <c r="G28" s="46"/>
      <c r="H28" s="46"/>
      <c r="I28" s="46"/>
    </row>
    <row r="29" spans="1:11" ht="12.75" customHeight="1">
      <c r="A29" s="46" t="s">
        <v>21</v>
      </c>
      <c r="B29" s="46"/>
      <c r="C29" s="46"/>
      <c r="D29" s="46"/>
      <c r="E29" s="46"/>
      <c r="F29" s="46"/>
      <c r="G29" s="46"/>
      <c r="H29" s="46"/>
      <c r="I29" s="46"/>
    </row>
    <row r="30" spans="1:11" ht="12.75" customHeight="1">
      <c r="A30" s="46" t="s">
        <v>22</v>
      </c>
      <c r="B30" s="46"/>
      <c r="C30" s="46"/>
      <c r="D30" s="46"/>
      <c r="E30" s="46"/>
      <c r="F30" s="46"/>
      <c r="G30" s="46"/>
      <c r="H30" s="46"/>
      <c r="I30" s="46"/>
    </row>
    <row r="31" spans="1:11" ht="12.75" customHeight="1">
      <c r="A31" s="46" t="s">
        <v>23</v>
      </c>
      <c r="B31" s="46"/>
      <c r="C31" s="46"/>
      <c r="D31" s="46"/>
      <c r="E31" s="46"/>
      <c r="F31" s="46"/>
      <c r="G31" s="46"/>
      <c r="H31" s="46"/>
      <c r="I31" s="46"/>
    </row>
    <row r="32" spans="1:11" ht="24.75" customHeight="1">
      <c r="A32" s="47" t="s">
        <v>24</v>
      </c>
      <c r="B32" s="47"/>
      <c r="C32" s="47"/>
      <c r="D32" s="47"/>
      <c r="E32" s="47"/>
      <c r="F32" s="47"/>
      <c r="G32" s="47"/>
      <c r="H32" s="47"/>
      <c r="I32" s="47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zoomScaleNormal="100" workbookViewId="0">
      <selection activeCell="H6" sqref="H6"/>
    </sheetView>
  </sheetViews>
  <sheetFormatPr defaultColWidth="9.140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1024" width="9.140625" style="1"/>
  </cols>
  <sheetData>
    <row r="1" spans="1:9" ht="15.75">
      <c r="A1" s="50" t="s">
        <v>0</v>
      </c>
      <c r="B1" s="50"/>
      <c r="C1" s="50"/>
      <c r="D1" s="50"/>
      <c r="E1" s="50"/>
      <c r="F1" s="50"/>
      <c r="G1" s="50"/>
      <c r="H1" s="50"/>
      <c r="I1" s="50"/>
    </row>
    <row r="2" spans="1:9" ht="25.5">
      <c r="A2" s="51" t="s">
        <v>71</v>
      </c>
      <c r="B2" s="2" t="s">
        <v>1</v>
      </c>
      <c r="C2" s="2" t="s">
        <v>2</v>
      </c>
      <c r="D2" s="2" t="s">
        <v>3</v>
      </c>
      <c r="E2" s="3" t="s">
        <v>4</v>
      </c>
      <c r="F2" s="3" t="s">
        <v>5</v>
      </c>
      <c r="G2" s="2" t="s">
        <v>6</v>
      </c>
      <c r="H2" s="4" t="s">
        <v>7</v>
      </c>
      <c r="I2" s="5" t="s">
        <v>8</v>
      </c>
    </row>
    <row r="3" spans="1:9" ht="12.75" customHeight="1">
      <c r="A3" s="51"/>
      <c r="B3" s="52" t="s">
        <v>64</v>
      </c>
      <c r="C3" s="53" t="s">
        <v>60</v>
      </c>
      <c r="D3" s="54">
        <v>18</v>
      </c>
      <c r="E3" s="55">
        <f>IF(C20&lt;=25%,D20,MIN(E20:F20))</f>
        <v>283.41000000000003</v>
      </c>
      <c r="F3" s="55">
        <f>MIN(H3:H17)</f>
        <v>262.01</v>
      </c>
      <c r="G3" s="6" t="s">
        <v>78</v>
      </c>
      <c r="H3" s="7">
        <v>746.07</v>
      </c>
      <c r="I3" s="8" t="str">
        <f t="shared" ref="I3:I17" si="0">IF(H3="","",(IF($C$20&lt;25%,"N/A",IF(H3&lt;=($D$20+$A$20),H3,"Descartado"))))</f>
        <v>Descartado</v>
      </c>
    </row>
    <row r="4" spans="1:9">
      <c r="A4" s="51"/>
      <c r="B4" s="52"/>
      <c r="C4" s="53"/>
      <c r="D4" s="54"/>
      <c r="E4" s="55"/>
      <c r="F4" s="55"/>
      <c r="G4" s="6" t="s">
        <v>79</v>
      </c>
      <c r="H4" s="7">
        <f>281.86*1.0814</f>
        <v>304.803404</v>
      </c>
      <c r="I4" s="8">
        <f t="shared" si="0"/>
        <v>304.803404</v>
      </c>
    </row>
    <row r="5" spans="1:9">
      <c r="A5" s="51"/>
      <c r="B5" s="52"/>
      <c r="C5" s="53"/>
      <c r="D5" s="54"/>
      <c r="E5" s="55"/>
      <c r="F5" s="55"/>
      <c r="G5" s="6" t="s">
        <v>80</v>
      </c>
      <c r="H5" s="7">
        <v>262.01</v>
      </c>
      <c r="I5" s="8">
        <f t="shared" si="0"/>
        <v>262.01</v>
      </c>
    </row>
    <row r="6" spans="1:9">
      <c r="A6" s="51"/>
      <c r="B6" s="52"/>
      <c r="C6" s="53"/>
      <c r="D6" s="54"/>
      <c r="E6" s="55"/>
      <c r="F6" s="55"/>
      <c r="G6" s="6"/>
      <c r="H6" s="7"/>
      <c r="I6" s="8" t="str">
        <f t="shared" si="0"/>
        <v/>
      </c>
    </row>
    <row r="7" spans="1:9">
      <c r="A7" s="51"/>
      <c r="B7" s="52"/>
      <c r="C7" s="53"/>
      <c r="D7" s="54"/>
      <c r="E7" s="55"/>
      <c r="F7" s="55"/>
      <c r="G7" s="6"/>
      <c r="H7" s="7"/>
      <c r="I7" s="8" t="str">
        <f t="shared" si="0"/>
        <v/>
      </c>
    </row>
    <row r="8" spans="1:9">
      <c r="A8" s="51"/>
      <c r="B8" s="52"/>
      <c r="C8" s="53"/>
      <c r="D8" s="54"/>
      <c r="E8" s="55"/>
      <c r="F8" s="55"/>
      <c r="G8" s="6"/>
      <c r="H8" s="7"/>
      <c r="I8" s="8" t="str">
        <f t="shared" si="0"/>
        <v/>
      </c>
    </row>
    <row r="9" spans="1:9">
      <c r="A9" s="51"/>
      <c r="B9" s="52"/>
      <c r="C9" s="53"/>
      <c r="D9" s="54"/>
      <c r="E9" s="55"/>
      <c r="F9" s="55"/>
      <c r="G9" s="6"/>
      <c r="H9" s="7"/>
      <c r="I9" s="8" t="str">
        <f t="shared" si="0"/>
        <v/>
      </c>
    </row>
    <row r="10" spans="1:9">
      <c r="A10" s="51"/>
      <c r="B10" s="52"/>
      <c r="C10" s="53"/>
      <c r="D10" s="54"/>
      <c r="E10" s="55"/>
      <c r="F10" s="55"/>
      <c r="G10" s="6"/>
      <c r="H10" s="7"/>
      <c r="I10" s="8" t="str">
        <f t="shared" si="0"/>
        <v/>
      </c>
    </row>
    <row r="11" spans="1:9">
      <c r="A11" s="51"/>
      <c r="B11" s="52"/>
      <c r="C11" s="53"/>
      <c r="D11" s="54"/>
      <c r="E11" s="55"/>
      <c r="F11" s="55"/>
      <c r="G11" s="6"/>
      <c r="H11" s="7"/>
      <c r="I11" s="8" t="str">
        <f t="shared" si="0"/>
        <v/>
      </c>
    </row>
    <row r="12" spans="1:9">
      <c r="A12" s="51"/>
      <c r="B12" s="52"/>
      <c r="C12" s="53"/>
      <c r="D12" s="54"/>
      <c r="E12" s="55"/>
      <c r="F12" s="55"/>
      <c r="G12" s="6"/>
      <c r="H12" s="7"/>
      <c r="I12" s="8" t="str">
        <f t="shared" si="0"/>
        <v/>
      </c>
    </row>
    <row r="13" spans="1:9">
      <c r="A13" s="51"/>
      <c r="B13" s="52"/>
      <c r="C13" s="53"/>
      <c r="D13" s="54"/>
      <c r="E13" s="55"/>
      <c r="F13" s="55"/>
      <c r="G13" s="6"/>
      <c r="H13" s="7"/>
      <c r="I13" s="8" t="str">
        <f t="shared" si="0"/>
        <v/>
      </c>
    </row>
    <row r="14" spans="1:9">
      <c r="A14" s="51"/>
      <c r="B14" s="52"/>
      <c r="C14" s="53"/>
      <c r="D14" s="54"/>
      <c r="E14" s="55"/>
      <c r="F14" s="55"/>
      <c r="G14" s="6"/>
      <c r="H14" s="7"/>
      <c r="I14" s="8" t="str">
        <f t="shared" si="0"/>
        <v/>
      </c>
    </row>
    <row r="15" spans="1:9">
      <c r="A15" s="51"/>
      <c r="B15" s="52"/>
      <c r="C15" s="53"/>
      <c r="D15" s="54"/>
      <c r="E15" s="55"/>
      <c r="F15" s="55"/>
      <c r="G15" s="6"/>
      <c r="H15" s="7"/>
      <c r="I15" s="8" t="str">
        <f t="shared" si="0"/>
        <v/>
      </c>
    </row>
    <row r="16" spans="1:9">
      <c r="A16" s="51"/>
      <c r="B16" s="52"/>
      <c r="C16" s="53"/>
      <c r="D16" s="54"/>
      <c r="E16" s="55"/>
      <c r="F16" s="55"/>
      <c r="G16" s="6"/>
      <c r="H16" s="7"/>
      <c r="I16" s="8" t="str">
        <f t="shared" si="0"/>
        <v/>
      </c>
    </row>
    <row r="17" spans="1:11">
      <c r="A17" s="51"/>
      <c r="B17" s="52"/>
      <c r="C17" s="53"/>
      <c r="D17" s="54"/>
      <c r="E17" s="55"/>
      <c r="F17" s="55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9</v>
      </c>
      <c r="B19" s="5" t="s">
        <v>10</v>
      </c>
      <c r="C19" s="4" t="s">
        <v>11</v>
      </c>
      <c r="D19" s="16" t="s">
        <v>12</v>
      </c>
      <c r="E19" s="17" t="s">
        <v>13</v>
      </c>
      <c r="F19" s="16" t="s">
        <v>14</v>
      </c>
      <c r="G19" s="48" t="s">
        <v>15</v>
      </c>
      <c r="H19" s="48"/>
      <c r="I19" s="18"/>
    </row>
    <row r="20" spans="1:11">
      <c r="A20" s="19">
        <f>IF(B20&lt;2,"N/A",(STDEV(H3:H17)))</f>
        <v>267.97436686224756</v>
      </c>
      <c r="B20" s="19">
        <f>COUNT(H3:H17)</f>
        <v>3</v>
      </c>
      <c r="C20" s="20">
        <f>IF(B20&lt;2,"N/A",(A20/D20))</f>
        <v>0.61233088879246755</v>
      </c>
      <c r="D20" s="21">
        <f>ROUND(AVERAGE(H3:H17),2)</f>
        <v>437.63</v>
      </c>
      <c r="E20" s="22">
        <f>IFERROR(ROUND(IF(B20&lt;2,"N/A",(IF(C20&lt;=25%,"N/A",AVERAGE(I3:I17)))),2),"N/A")</f>
        <v>283.41000000000003</v>
      </c>
      <c r="F20" s="22">
        <f>ROUND(MEDIAN(H3:H17),2)</f>
        <v>304.8</v>
      </c>
      <c r="G20" s="23" t="str">
        <f>INDEX(G3:G17,MATCH(H20,H3:H17,0))</f>
        <v>TRE-SC - UNIMED - Contr. 18/18 - Ap. 20/21</v>
      </c>
      <c r="H20" s="24">
        <f>MIN(H3:H17)</f>
        <v>262.01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49"/>
      <c r="E22" s="49"/>
      <c r="F22" s="30"/>
      <c r="G22" s="31" t="s">
        <v>16</v>
      </c>
      <c r="H22" s="32">
        <f>IF(C20&lt;=25%,D20,MIN(E20:F20))</f>
        <v>283.41000000000003</v>
      </c>
    </row>
    <row r="23" spans="1:11">
      <c r="B23" s="25"/>
      <c r="C23" s="25"/>
      <c r="D23" s="49"/>
      <c r="E23" s="49"/>
      <c r="F23" s="33"/>
      <c r="G23" s="4" t="s">
        <v>17</v>
      </c>
      <c r="H23" s="24">
        <f>ROUND(H22,2)*D3</f>
        <v>5101.38</v>
      </c>
    </row>
    <row r="24" spans="1:11">
      <c r="B24" s="29"/>
      <c r="C24" s="29"/>
      <c r="D24" s="18"/>
      <c r="E24" s="18"/>
    </row>
    <row r="26" spans="1:11" ht="12.75" customHeight="1">
      <c r="A26" s="46" t="s">
        <v>18</v>
      </c>
      <c r="B26" s="46"/>
      <c r="C26" s="46"/>
      <c r="D26" s="46"/>
      <c r="E26" s="46"/>
      <c r="F26" s="46"/>
      <c r="G26" s="46"/>
      <c r="H26" s="46"/>
      <c r="I26" s="46"/>
    </row>
    <row r="27" spans="1:11" ht="12.75" customHeight="1">
      <c r="A27" s="46" t="s">
        <v>19</v>
      </c>
      <c r="B27" s="46"/>
      <c r="C27" s="46"/>
      <c r="D27" s="46"/>
      <c r="E27" s="46"/>
      <c r="F27" s="46"/>
      <c r="G27" s="46"/>
      <c r="H27" s="46"/>
      <c r="I27" s="46"/>
    </row>
    <row r="28" spans="1:11" ht="12.75" customHeight="1">
      <c r="A28" s="46" t="s">
        <v>20</v>
      </c>
      <c r="B28" s="46"/>
      <c r="C28" s="46"/>
      <c r="D28" s="46"/>
      <c r="E28" s="46"/>
      <c r="F28" s="46"/>
      <c r="G28" s="46"/>
      <c r="H28" s="46"/>
      <c r="I28" s="46"/>
    </row>
    <row r="29" spans="1:11" ht="12.75" customHeight="1">
      <c r="A29" s="46" t="s">
        <v>21</v>
      </c>
      <c r="B29" s="46"/>
      <c r="C29" s="46"/>
      <c r="D29" s="46"/>
      <c r="E29" s="46"/>
      <c r="F29" s="46"/>
      <c r="G29" s="46"/>
      <c r="H29" s="46"/>
      <c r="I29" s="46"/>
    </row>
    <row r="30" spans="1:11" ht="12.75" customHeight="1">
      <c r="A30" s="46" t="s">
        <v>22</v>
      </c>
      <c r="B30" s="46"/>
      <c r="C30" s="46"/>
      <c r="D30" s="46"/>
      <c r="E30" s="46"/>
      <c r="F30" s="46"/>
      <c r="G30" s="46"/>
      <c r="H30" s="46"/>
      <c r="I30" s="46"/>
    </row>
    <row r="31" spans="1:11" ht="12.75" customHeight="1">
      <c r="A31" s="46" t="s">
        <v>23</v>
      </c>
      <c r="B31" s="46"/>
      <c r="C31" s="46"/>
      <c r="D31" s="46"/>
      <c r="E31" s="46"/>
      <c r="F31" s="46"/>
      <c r="G31" s="46"/>
      <c r="H31" s="46"/>
      <c r="I31" s="46"/>
    </row>
    <row r="32" spans="1:11" ht="24.75" customHeight="1">
      <c r="A32" s="47" t="s">
        <v>24</v>
      </c>
      <c r="B32" s="47"/>
      <c r="C32" s="47"/>
      <c r="D32" s="47"/>
      <c r="E32" s="47"/>
      <c r="F32" s="47"/>
      <c r="G32" s="47"/>
      <c r="H32" s="47"/>
      <c r="I32" s="47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zoomScaleNormal="100" workbookViewId="0">
      <selection activeCell="H6" sqref="H6"/>
    </sheetView>
  </sheetViews>
  <sheetFormatPr defaultColWidth="9.140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1024" width="9.140625" style="1"/>
  </cols>
  <sheetData>
    <row r="1" spans="1:9" ht="15.75">
      <c r="A1" s="50" t="s">
        <v>0</v>
      </c>
      <c r="B1" s="50"/>
      <c r="C1" s="50"/>
      <c r="D1" s="50"/>
      <c r="E1" s="50"/>
      <c r="F1" s="50"/>
      <c r="G1" s="50"/>
      <c r="H1" s="50"/>
      <c r="I1" s="50"/>
    </row>
    <row r="2" spans="1:9" ht="25.5">
      <c r="A2" s="51" t="s">
        <v>71</v>
      </c>
      <c r="B2" s="2" t="s">
        <v>1</v>
      </c>
      <c r="C2" s="2" t="s">
        <v>2</v>
      </c>
      <c r="D2" s="2" t="s">
        <v>3</v>
      </c>
      <c r="E2" s="3" t="s">
        <v>4</v>
      </c>
      <c r="F2" s="3" t="s">
        <v>5</v>
      </c>
      <c r="G2" s="2" t="s">
        <v>6</v>
      </c>
      <c r="H2" s="4" t="s">
        <v>7</v>
      </c>
      <c r="I2" s="5" t="s">
        <v>8</v>
      </c>
    </row>
    <row r="3" spans="1:9" ht="12.75" customHeight="1">
      <c r="A3" s="51"/>
      <c r="B3" s="52" t="s">
        <v>65</v>
      </c>
      <c r="C3" s="53" t="s">
        <v>60</v>
      </c>
      <c r="D3" s="54">
        <v>25</v>
      </c>
      <c r="E3" s="55">
        <f>IF(C20&lt;=25%,D20,MIN(E20:F20))</f>
        <v>331.83</v>
      </c>
      <c r="F3" s="55">
        <f>MIN(H3:H17)</f>
        <v>310.08999999999997</v>
      </c>
      <c r="G3" s="6" t="s">
        <v>78</v>
      </c>
      <c r="H3" s="7">
        <v>830.4</v>
      </c>
      <c r="I3" s="8" t="str">
        <f t="shared" ref="I3:I17" si="0">IF(H3="","",(IF($C$20&lt;25%,"N/A",IF(H3&lt;=($D$20+$A$20),H3,"Descartado"))))</f>
        <v>Descartado</v>
      </c>
    </row>
    <row r="4" spans="1:9">
      <c r="A4" s="51"/>
      <c r="B4" s="52"/>
      <c r="C4" s="53"/>
      <c r="D4" s="54"/>
      <c r="E4" s="55"/>
      <c r="F4" s="55"/>
      <c r="G4" s="6" t="s">
        <v>79</v>
      </c>
      <c r="H4" s="7">
        <f>326.95*1.0814</f>
        <v>353.56372999999996</v>
      </c>
      <c r="I4" s="8">
        <f t="shared" si="0"/>
        <v>353.56372999999996</v>
      </c>
    </row>
    <row r="5" spans="1:9">
      <c r="A5" s="51"/>
      <c r="B5" s="52"/>
      <c r="C5" s="53"/>
      <c r="D5" s="54"/>
      <c r="E5" s="55"/>
      <c r="F5" s="55"/>
      <c r="G5" s="6" t="s">
        <v>80</v>
      </c>
      <c r="H5" s="7">
        <v>310.08999999999997</v>
      </c>
      <c r="I5" s="8">
        <f t="shared" si="0"/>
        <v>310.08999999999997</v>
      </c>
    </row>
    <row r="6" spans="1:9">
      <c r="A6" s="51"/>
      <c r="B6" s="52"/>
      <c r="C6" s="53"/>
      <c r="D6" s="54"/>
      <c r="E6" s="55"/>
      <c r="F6" s="55"/>
      <c r="G6" s="6"/>
      <c r="H6" s="7"/>
      <c r="I6" s="8" t="str">
        <f t="shared" si="0"/>
        <v/>
      </c>
    </row>
    <row r="7" spans="1:9">
      <c r="A7" s="51"/>
      <c r="B7" s="52"/>
      <c r="C7" s="53"/>
      <c r="D7" s="54"/>
      <c r="E7" s="55"/>
      <c r="F7" s="55"/>
      <c r="G7" s="6"/>
      <c r="H7" s="7"/>
      <c r="I7" s="8" t="str">
        <f t="shared" si="0"/>
        <v/>
      </c>
    </row>
    <row r="8" spans="1:9">
      <c r="A8" s="51"/>
      <c r="B8" s="52"/>
      <c r="C8" s="53"/>
      <c r="D8" s="54"/>
      <c r="E8" s="55"/>
      <c r="F8" s="55"/>
      <c r="G8" s="6"/>
      <c r="H8" s="7"/>
      <c r="I8" s="8" t="str">
        <f t="shared" si="0"/>
        <v/>
      </c>
    </row>
    <row r="9" spans="1:9">
      <c r="A9" s="51"/>
      <c r="B9" s="52"/>
      <c r="C9" s="53"/>
      <c r="D9" s="54"/>
      <c r="E9" s="55"/>
      <c r="F9" s="55"/>
      <c r="G9" s="6"/>
      <c r="H9" s="7"/>
      <c r="I9" s="8" t="str">
        <f t="shared" si="0"/>
        <v/>
      </c>
    </row>
    <row r="10" spans="1:9">
      <c r="A10" s="51"/>
      <c r="B10" s="52"/>
      <c r="C10" s="53"/>
      <c r="D10" s="54"/>
      <c r="E10" s="55"/>
      <c r="F10" s="55"/>
      <c r="G10" s="6"/>
      <c r="H10" s="7"/>
      <c r="I10" s="8" t="str">
        <f t="shared" si="0"/>
        <v/>
      </c>
    </row>
    <row r="11" spans="1:9">
      <c r="A11" s="51"/>
      <c r="B11" s="52"/>
      <c r="C11" s="53"/>
      <c r="D11" s="54"/>
      <c r="E11" s="55"/>
      <c r="F11" s="55"/>
      <c r="G11" s="6"/>
      <c r="H11" s="7"/>
      <c r="I11" s="8" t="str">
        <f t="shared" si="0"/>
        <v/>
      </c>
    </row>
    <row r="12" spans="1:9">
      <c r="A12" s="51"/>
      <c r="B12" s="52"/>
      <c r="C12" s="53"/>
      <c r="D12" s="54"/>
      <c r="E12" s="55"/>
      <c r="F12" s="55"/>
      <c r="G12" s="6"/>
      <c r="H12" s="7"/>
      <c r="I12" s="8" t="str">
        <f t="shared" si="0"/>
        <v/>
      </c>
    </row>
    <row r="13" spans="1:9">
      <c r="A13" s="51"/>
      <c r="B13" s="52"/>
      <c r="C13" s="53"/>
      <c r="D13" s="54"/>
      <c r="E13" s="55"/>
      <c r="F13" s="55"/>
      <c r="G13" s="6"/>
      <c r="H13" s="7"/>
      <c r="I13" s="8" t="str">
        <f t="shared" si="0"/>
        <v/>
      </c>
    </row>
    <row r="14" spans="1:9">
      <c r="A14" s="51"/>
      <c r="B14" s="52"/>
      <c r="C14" s="53"/>
      <c r="D14" s="54"/>
      <c r="E14" s="55"/>
      <c r="F14" s="55"/>
      <c r="G14" s="6"/>
      <c r="H14" s="7"/>
      <c r="I14" s="8" t="str">
        <f t="shared" si="0"/>
        <v/>
      </c>
    </row>
    <row r="15" spans="1:9">
      <c r="A15" s="51"/>
      <c r="B15" s="52"/>
      <c r="C15" s="53"/>
      <c r="D15" s="54"/>
      <c r="E15" s="55"/>
      <c r="F15" s="55"/>
      <c r="G15" s="6"/>
      <c r="H15" s="7"/>
      <c r="I15" s="8" t="str">
        <f t="shared" si="0"/>
        <v/>
      </c>
    </row>
    <row r="16" spans="1:9">
      <c r="A16" s="51"/>
      <c r="B16" s="52"/>
      <c r="C16" s="53"/>
      <c r="D16" s="54"/>
      <c r="E16" s="55"/>
      <c r="F16" s="55"/>
      <c r="G16" s="6"/>
      <c r="H16" s="7"/>
      <c r="I16" s="8" t="str">
        <f t="shared" si="0"/>
        <v/>
      </c>
    </row>
    <row r="17" spans="1:11">
      <c r="A17" s="51"/>
      <c r="B17" s="52"/>
      <c r="C17" s="53"/>
      <c r="D17" s="54"/>
      <c r="E17" s="55"/>
      <c r="F17" s="55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9</v>
      </c>
      <c r="B19" s="5" t="s">
        <v>10</v>
      </c>
      <c r="C19" s="4" t="s">
        <v>11</v>
      </c>
      <c r="D19" s="16" t="s">
        <v>12</v>
      </c>
      <c r="E19" s="17" t="s">
        <v>13</v>
      </c>
      <c r="F19" s="16" t="s">
        <v>14</v>
      </c>
      <c r="G19" s="48" t="s">
        <v>15</v>
      </c>
      <c r="H19" s="48"/>
      <c r="I19" s="18"/>
    </row>
    <row r="20" spans="1:11">
      <c r="A20" s="19">
        <f>IF(B20&lt;2,"N/A",(STDEV(H3:H17)))</f>
        <v>288.67088806217413</v>
      </c>
      <c r="B20" s="19">
        <f>COUNT(H3:H17)</f>
        <v>3</v>
      </c>
      <c r="C20" s="20">
        <f>IF(B20&lt;2,"N/A",(A20/D20))</f>
        <v>0.5796371391955627</v>
      </c>
      <c r="D20" s="21">
        <f>ROUND(AVERAGE(H3:H17),2)</f>
        <v>498.02</v>
      </c>
      <c r="E20" s="22">
        <f>IFERROR(ROUND(IF(B20&lt;2,"N/A",(IF(C20&lt;=25%,"N/A",AVERAGE(I3:I17)))),2),"N/A")</f>
        <v>331.83</v>
      </c>
      <c r="F20" s="22">
        <f>ROUND(MEDIAN(H3:H17),2)</f>
        <v>353.56</v>
      </c>
      <c r="G20" s="23" t="str">
        <f>INDEX(G3:G17,MATCH(H20,H3:H17,0))</f>
        <v>TRE-SC - UNIMED - Contr. 18/18 - Ap. 20/21</v>
      </c>
      <c r="H20" s="24">
        <f>MIN(H3:H17)</f>
        <v>310.08999999999997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49"/>
      <c r="E22" s="49"/>
      <c r="F22" s="30"/>
      <c r="G22" s="31" t="s">
        <v>16</v>
      </c>
      <c r="H22" s="32">
        <f>IF(C20&lt;=25%,D20,MIN(E20:F20))</f>
        <v>331.83</v>
      </c>
    </row>
    <row r="23" spans="1:11">
      <c r="B23" s="25"/>
      <c r="C23" s="25"/>
      <c r="D23" s="49"/>
      <c r="E23" s="49"/>
      <c r="F23" s="33"/>
      <c r="G23" s="4" t="s">
        <v>17</v>
      </c>
      <c r="H23" s="24">
        <f>ROUND(H22,2)*D3</f>
        <v>8295.75</v>
      </c>
    </row>
    <row r="24" spans="1:11">
      <c r="B24" s="29"/>
      <c r="C24" s="29"/>
      <c r="D24" s="18"/>
      <c r="E24" s="18"/>
    </row>
    <row r="26" spans="1:11" ht="12.75" customHeight="1">
      <c r="A26" s="46" t="s">
        <v>18</v>
      </c>
      <c r="B26" s="46"/>
      <c r="C26" s="46"/>
      <c r="D26" s="46"/>
      <c r="E26" s="46"/>
      <c r="F26" s="46"/>
      <c r="G26" s="46"/>
      <c r="H26" s="46"/>
      <c r="I26" s="46"/>
    </row>
    <row r="27" spans="1:11" ht="12.75" customHeight="1">
      <c r="A27" s="46" t="s">
        <v>19</v>
      </c>
      <c r="B27" s="46"/>
      <c r="C27" s="46"/>
      <c r="D27" s="46"/>
      <c r="E27" s="46"/>
      <c r="F27" s="46"/>
      <c r="G27" s="46"/>
      <c r="H27" s="46"/>
      <c r="I27" s="46"/>
    </row>
    <row r="28" spans="1:11" ht="12.75" customHeight="1">
      <c r="A28" s="46" t="s">
        <v>20</v>
      </c>
      <c r="B28" s="46"/>
      <c r="C28" s="46"/>
      <c r="D28" s="46"/>
      <c r="E28" s="46"/>
      <c r="F28" s="46"/>
      <c r="G28" s="46"/>
      <c r="H28" s="46"/>
      <c r="I28" s="46"/>
    </row>
    <row r="29" spans="1:11" ht="12.75" customHeight="1">
      <c r="A29" s="46" t="s">
        <v>21</v>
      </c>
      <c r="B29" s="46"/>
      <c r="C29" s="46"/>
      <c r="D29" s="46"/>
      <c r="E29" s="46"/>
      <c r="F29" s="46"/>
      <c r="G29" s="46"/>
      <c r="H29" s="46"/>
      <c r="I29" s="46"/>
    </row>
    <row r="30" spans="1:11" ht="12.75" customHeight="1">
      <c r="A30" s="46" t="s">
        <v>22</v>
      </c>
      <c r="B30" s="46"/>
      <c r="C30" s="46"/>
      <c r="D30" s="46"/>
      <c r="E30" s="46"/>
      <c r="F30" s="46"/>
      <c r="G30" s="46"/>
      <c r="H30" s="46"/>
      <c r="I30" s="46"/>
    </row>
    <row r="31" spans="1:11" ht="12.75" customHeight="1">
      <c r="A31" s="46" t="s">
        <v>23</v>
      </c>
      <c r="B31" s="46"/>
      <c r="C31" s="46"/>
      <c r="D31" s="46"/>
      <c r="E31" s="46"/>
      <c r="F31" s="46"/>
      <c r="G31" s="46"/>
      <c r="H31" s="46"/>
      <c r="I31" s="46"/>
    </row>
    <row r="32" spans="1:11" ht="24.75" customHeight="1">
      <c r="A32" s="47" t="s">
        <v>24</v>
      </c>
      <c r="B32" s="47"/>
      <c r="C32" s="47"/>
      <c r="D32" s="47"/>
      <c r="E32" s="47"/>
      <c r="F32" s="47"/>
      <c r="G32" s="47"/>
      <c r="H32" s="47"/>
      <c r="I32" s="47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zoomScaleNormal="100" workbookViewId="0">
      <selection activeCell="H6" sqref="H6"/>
    </sheetView>
  </sheetViews>
  <sheetFormatPr defaultColWidth="9.140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1024" width="9.140625" style="1"/>
  </cols>
  <sheetData>
    <row r="1" spans="1:9" ht="15.75">
      <c r="A1" s="50" t="s">
        <v>0</v>
      </c>
      <c r="B1" s="50"/>
      <c r="C1" s="50"/>
      <c r="D1" s="50"/>
      <c r="E1" s="50"/>
      <c r="F1" s="50"/>
      <c r="G1" s="50"/>
      <c r="H1" s="50"/>
      <c r="I1" s="50"/>
    </row>
    <row r="2" spans="1:9" ht="25.5">
      <c r="A2" s="51" t="s">
        <v>71</v>
      </c>
      <c r="B2" s="2" t="s">
        <v>1</v>
      </c>
      <c r="C2" s="2" t="s">
        <v>2</v>
      </c>
      <c r="D2" s="2" t="s">
        <v>3</v>
      </c>
      <c r="E2" s="3" t="s">
        <v>4</v>
      </c>
      <c r="F2" s="3" t="s">
        <v>5</v>
      </c>
      <c r="G2" s="2" t="s">
        <v>6</v>
      </c>
      <c r="H2" s="4" t="s">
        <v>7</v>
      </c>
      <c r="I2" s="5" t="s">
        <v>8</v>
      </c>
    </row>
    <row r="3" spans="1:9" ht="12.75" customHeight="1">
      <c r="A3" s="51"/>
      <c r="B3" s="52" t="s">
        <v>66</v>
      </c>
      <c r="C3" s="53" t="s">
        <v>60</v>
      </c>
      <c r="D3" s="54">
        <v>33</v>
      </c>
      <c r="E3" s="55">
        <f>IF(C20&lt;=25%,D20,MIN(E20:F20))</f>
        <v>380.42</v>
      </c>
      <c r="F3" s="55">
        <f>MIN(H3:H17)</f>
        <v>364.82</v>
      </c>
      <c r="G3" s="6" t="s">
        <v>78</v>
      </c>
      <c r="H3" s="7">
        <v>925.48</v>
      </c>
      <c r="I3" s="8" t="str">
        <f t="shared" ref="I3:I17" si="0">IF(H3="","",(IF($C$20&lt;25%,"N/A",IF(H3&lt;=($D$20+$A$20),H3,"Descartado"))))</f>
        <v>Descartado</v>
      </c>
    </row>
    <row r="4" spans="1:9">
      <c r="A4" s="51"/>
      <c r="B4" s="52"/>
      <c r="C4" s="53"/>
      <c r="D4" s="54"/>
      <c r="E4" s="55"/>
      <c r="F4" s="55"/>
      <c r="G4" s="6" t="s">
        <v>79</v>
      </c>
      <c r="H4" s="7">
        <f>366.21*1.0814</f>
        <v>396.01949399999995</v>
      </c>
      <c r="I4" s="8">
        <f t="shared" si="0"/>
        <v>396.01949399999995</v>
      </c>
    </row>
    <row r="5" spans="1:9">
      <c r="A5" s="51"/>
      <c r="B5" s="52"/>
      <c r="C5" s="53"/>
      <c r="D5" s="54"/>
      <c r="E5" s="55"/>
      <c r="F5" s="55"/>
      <c r="G5" s="6" t="s">
        <v>80</v>
      </c>
      <c r="H5" s="7">
        <v>364.82</v>
      </c>
      <c r="I5" s="8">
        <f t="shared" si="0"/>
        <v>364.82</v>
      </c>
    </row>
    <row r="6" spans="1:9">
      <c r="A6" s="51"/>
      <c r="B6" s="52"/>
      <c r="C6" s="53"/>
      <c r="D6" s="54"/>
      <c r="E6" s="55"/>
      <c r="F6" s="55"/>
      <c r="G6" s="6"/>
      <c r="H6" s="7"/>
      <c r="I6" s="8" t="str">
        <f t="shared" si="0"/>
        <v/>
      </c>
    </row>
    <row r="7" spans="1:9">
      <c r="A7" s="51"/>
      <c r="B7" s="52"/>
      <c r="C7" s="53"/>
      <c r="D7" s="54"/>
      <c r="E7" s="55"/>
      <c r="F7" s="55"/>
      <c r="G7" s="6"/>
      <c r="H7" s="7"/>
      <c r="I7" s="8" t="str">
        <f t="shared" si="0"/>
        <v/>
      </c>
    </row>
    <row r="8" spans="1:9">
      <c r="A8" s="51"/>
      <c r="B8" s="52"/>
      <c r="C8" s="53"/>
      <c r="D8" s="54"/>
      <c r="E8" s="55"/>
      <c r="F8" s="55"/>
      <c r="G8" s="6"/>
      <c r="H8" s="7"/>
      <c r="I8" s="8" t="str">
        <f t="shared" si="0"/>
        <v/>
      </c>
    </row>
    <row r="9" spans="1:9">
      <c r="A9" s="51"/>
      <c r="B9" s="52"/>
      <c r="C9" s="53"/>
      <c r="D9" s="54"/>
      <c r="E9" s="55"/>
      <c r="F9" s="55"/>
      <c r="G9" s="6"/>
      <c r="H9" s="7"/>
      <c r="I9" s="8" t="str">
        <f t="shared" si="0"/>
        <v/>
      </c>
    </row>
    <row r="10" spans="1:9">
      <c r="A10" s="51"/>
      <c r="B10" s="52"/>
      <c r="C10" s="53"/>
      <c r="D10" s="54"/>
      <c r="E10" s="55"/>
      <c r="F10" s="55"/>
      <c r="G10" s="6"/>
      <c r="H10" s="7"/>
      <c r="I10" s="8" t="str">
        <f t="shared" si="0"/>
        <v/>
      </c>
    </row>
    <row r="11" spans="1:9">
      <c r="A11" s="51"/>
      <c r="B11" s="52"/>
      <c r="C11" s="53"/>
      <c r="D11" s="54"/>
      <c r="E11" s="55"/>
      <c r="F11" s="55"/>
      <c r="G11" s="6"/>
      <c r="H11" s="7"/>
      <c r="I11" s="8" t="str">
        <f t="shared" si="0"/>
        <v/>
      </c>
    </row>
    <row r="12" spans="1:9">
      <c r="A12" s="51"/>
      <c r="B12" s="52"/>
      <c r="C12" s="53"/>
      <c r="D12" s="54"/>
      <c r="E12" s="55"/>
      <c r="F12" s="55"/>
      <c r="G12" s="6"/>
      <c r="H12" s="7"/>
      <c r="I12" s="8" t="str">
        <f t="shared" si="0"/>
        <v/>
      </c>
    </row>
    <row r="13" spans="1:9">
      <c r="A13" s="51"/>
      <c r="B13" s="52"/>
      <c r="C13" s="53"/>
      <c r="D13" s="54"/>
      <c r="E13" s="55"/>
      <c r="F13" s="55"/>
      <c r="G13" s="6"/>
      <c r="H13" s="7"/>
      <c r="I13" s="8" t="str">
        <f t="shared" si="0"/>
        <v/>
      </c>
    </row>
    <row r="14" spans="1:9">
      <c r="A14" s="51"/>
      <c r="B14" s="52"/>
      <c r="C14" s="53"/>
      <c r="D14" s="54"/>
      <c r="E14" s="55"/>
      <c r="F14" s="55"/>
      <c r="G14" s="6"/>
      <c r="H14" s="7"/>
      <c r="I14" s="8" t="str">
        <f t="shared" si="0"/>
        <v/>
      </c>
    </row>
    <row r="15" spans="1:9">
      <c r="A15" s="51"/>
      <c r="B15" s="52"/>
      <c r="C15" s="53"/>
      <c r="D15" s="54"/>
      <c r="E15" s="55"/>
      <c r="F15" s="55"/>
      <c r="G15" s="6"/>
      <c r="H15" s="7"/>
      <c r="I15" s="8" t="str">
        <f t="shared" si="0"/>
        <v/>
      </c>
    </row>
    <row r="16" spans="1:9">
      <c r="A16" s="51"/>
      <c r="B16" s="52"/>
      <c r="C16" s="53"/>
      <c r="D16" s="54"/>
      <c r="E16" s="55"/>
      <c r="F16" s="55"/>
      <c r="G16" s="6"/>
      <c r="H16" s="7"/>
      <c r="I16" s="8" t="str">
        <f t="shared" si="0"/>
        <v/>
      </c>
    </row>
    <row r="17" spans="1:11">
      <c r="A17" s="51"/>
      <c r="B17" s="52"/>
      <c r="C17" s="53"/>
      <c r="D17" s="54"/>
      <c r="E17" s="55"/>
      <c r="F17" s="55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9</v>
      </c>
      <c r="B19" s="5" t="s">
        <v>10</v>
      </c>
      <c r="C19" s="4" t="s">
        <v>11</v>
      </c>
      <c r="D19" s="16" t="s">
        <v>12</v>
      </c>
      <c r="E19" s="17" t="s">
        <v>13</v>
      </c>
      <c r="F19" s="16" t="s">
        <v>14</v>
      </c>
      <c r="G19" s="48" t="s">
        <v>15</v>
      </c>
      <c r="H19" s="48"/>
      <c r="I19" s="18"/>
    </row>
    <row r="20" spans="1:11">
      <c r="A20" s="19">
        <f>IF(B20&lt;2,"N/A",(STDEV(H3:H17)))</f>
        <v>315.07709941103639</v>
      </c>
      <c r="B20" s="19">
        <f>COUNT(H3:H17)</f>
        <v>3</v>
      </c>
      <c r="C20" s="20">
        <f>IF(B20&lt;2,"N/A",(A20/D20))</f>
        <v>0.56052569676938035</v>
      </c>
      <c r="D20" s="21">
        <f>ROUND(AVERAGE(H3:H17),2)</f>
        <v>562.11</v>
      </c>
      <c r="E20" s="22">
        <f>IFERROR(ROUND(IF(B20&lt;2,"N/A",(IF(C20&lt;=25%,"N/A",AVERAGE(I3:I17)))),2),"N/A")</f>
        <v>380.42</v>
      </c>
      <c r="F20" s="22">
        <f>ROUND(MEDIAN(H3:H17),2)</f>
        <v>396.02</v>
      </c>
      <c r="G20" s="23" t="str">
        <f>INDEX(G3:G17,MATCH(H20,H3:H17,0))</f>
        <v>TRE-SC - UNIMED - Contr. 18/18 - Ap. 20/21</v>
      </c>
      <c r="H20" s="24">
        <f>MIN(H3:H17)</f>
        <v>364.82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49"/>
      <c r="E22" s="49"/>
      <c r="F22" s="30"/>
      <c r="G22" s="31" t="s">
        <v>16</v>
      </c>
      <c r="H22" s="32">
        <f>IF(C20&lt;=25%,D20,MIN(E20:F20))</f>
        <v>380.42</v>
      </c>
    </row>
    <row r="23" spans="1:11">
      <c r="B23" s="25"/>
      <c r="C23" s="25"/>
      <c r="D23" s="49"/>
      <c r="E23" s="49"/>
      <c r="F23" s="33"/>
      <c r="G23" s="4" t="s">
        <v>17</v>
      </c>
      <c r="H23" s="24">
        <f>ROUND(H22,2)*D3</f>
        <v>12553.86</v>
      </c>
    </row>
    <row r="24" spans="1:11">
      <c r="B24" s="29"/>
      <c r="C24" s="29"/>
      <c r="D24" s="18"/>
      <c r="E24" s="18"/>
    </row>
    <row r="26" spans="1:11" ht="12.75" customHeight="1">
      <c r="A26" s="46" t="s">
        <v>18</v>
      </c>
      <c r="B26" s="46"/>
      <c r="C26" s="46"/>
      <c r="D26" s="46"/>
      <c r="E26" s="46"/>
      <c r="F26" s="46"/>
      <c r="G26" s="46"/>
      <c r="H26" s="46"/>
      <c r="I26" s="46"/>
    </row>
    <row r="27" spans="1:11" ht="12.75" customHeight="1">
      <c r="A27" s="46" t="s">
        <v>19</v>
      </c>
      <c r="B27" s="46"/>
      <c r="C27" s="46"/>
      <c r="D27" s="46"/>
      <c r="E27" s="46"/>
      <c r="F27" s="46"/>
      <c r="G27" s="46"/>
      <c r="H27" s="46"/>
      <c r="I27" s="46"/>
    </row>
    <row r="28" spans="1:11" ht="12.75" customHeight="1">
      <c r="A28" s="46" t="s">
        <v>20</v>
      </c>
      <c r="B28" s="46"/>
      <c r="C28" s="46"/>
      <c r="D28" s="46"/>
      <c r="E28" s="46"/>
      <c r="F28" s="46"/>
      <c r="G28" s="46"/>
      <c r="H28" s="46"/>
      <c r="I28" s="46"/>
    </row>
    <row r="29" spans="1:11" ht="12.75" customHeight="1">
      <c r="A29" s="46" t="s">
        <v>21</v>
      </c>
      <c r="B29" s="46"/>
      <c r="C29" s="46"/>
      <c r="D29" s="46"/>
      <c r="E29" s="46"/>
      <c r="F29" s="46"/>
      <c r="G29" s="46"/>
      <c r="H29" s="46"/>
      <c r="I29" s="46"/>
    </row>
    <row r="30" spans="1:11" ht="12.75" customHeight="1">
      <c r="A30" s="46" t="s">
        <v>22</v>
      </c>
      <c r="B30" s="46"/>
      <c r="C30" s="46"/>
      <c r="D30" s="46"/>
      <c r="E30" s="46"/>
      <c r="F30" s="46"/>
      <c r="G30" s="46"/>
      <c r="H30" s="46"/>
      <c r="I30" s="46"/>
    </row>
    <row r="31" spans="1:11" ht="12.75" customHeight="1">
      <c r="A31" s="46" t="s">
        <v>23</v>
      </c>
      <c r="B31" s="46"/>
      <c r="C31" s="46"/>
      <c r="D31" s="46"/>
      <c r="E31" s="46"/>
      <c r="F31" s="46"/>
      <c r="G31" s="46"/>
      <c r="H31" s="46"/>
      <c r="I31" s="46"/>
    </row>
    <row r="32" spans="1:11" ht="24.75" customHeight="1">
      <c r="A32" s="47" t="s">
        <v>24</v>
      </c>
      <c r="B32" s="47"/>
      <c r="C32" s="47"/>
      <c r="D32" s="47"/>
      <c r="E32" s="47"/>
      <c r="F32" s="47"/>
      <c r="G32" s="47"/>
      <c r="H32" s="47"/>
      <c r="I32" s="47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zoomScaleNormal="100" workbookViewId="0">
      <selection activeCell="H6" sqref="H6"/>
    </sheetView>
  </sheetViews>
  <sheetFormatPr defaultColWidth="9.140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1024" width="9.140625" style="1"/>
  </cols>
  <sheetData>
    <row r="1" spans="1:9" ht="15.75">
      <c r="A1" s="50" t="s">
        <v>0</v>
      </c>
      <c r="B1" s="50"/>
      <c r="C1" s="50"/>
      <c r="D1" s="50"/>
      <c r="E1" s="50"/>
      <c r="F1" s="50"/>
      <c r="G1" s="50"/>
      <c r="H1" s="50"/>
      <c r="I1" s="50"/>
    </row>
    <row r="2" spans="1:9" ht="25.5">
      <c r="A2" s="51" t="s">
        <v>71</v>
      </c>
      <c r="B2" s="2" t="s">
        <v>1</v>
      </c>
      <c r="C2" s="2" t="s">
        <v>2</v>
      </c>
      <c r="D2" s="2" t="s">
        <v>3</v>
      </c>
      <c r="E2" s="3" t="s">
        <v>4</v>
      </c>
      <c r="F2" s="3" t="s">
        <v>5</v>
      </c>
      <c r="G2" s="2" t="s">
        <v>6</v>
      </c>
      <c r="H2" s="4" t="s">
        <v>7</v>
      </c>
      <c r="I2" s="5" t="s">
        <v>8</v>
      </c>
    </row>
    <row r="3" spans="1:9" ht="12.75" customHeight="1">
      <c r="A3" s="51"/>
      <c r="B3" s="52" t="s">
        <v>67</v>
      </c>
      <c r="C3" s="53" t="s">
        <v>60</v>
      </c>
      <c r="D3" s="54">
        <v>75</v>
      </c>
      <c r="E3" s="55">
        <f>IF(C20&lt;=25%,D20,MIN(E20:F20))</f>
        <v>418.9</v>
      </c>
      <c r="F3" s="55">
        <f>MIN(H3:H17)</f>
        <v>414.07</v>
      </c>
      <c r="G3" s="6" t="s">
        <v>78</v>
      </c>
      <c r="H3" s="7">
        <v>1035.3</v>
      </c>
      <c r="I3" s="8" t="str">
        <f t="shared" ref="I3:I17" si="0">IF(H3="","",(IF($C$20&lt;25%,"N/A",IF(H3&lt;=($D$20+$A$20),H3,"Descartado"))))</f>
        <v>Descartado</v>
      </c>
    </row>
    <row r="4" spans="1:9">
      <c r="A4" s="51"/>
      <c r="B4" s="52"/>
      <c r="C4" s="53"/>
      <c r="D4" s="54"/>
      <c r="E4" s="55"/>
      <c r="F4" s="55"/>
      <c r="G4" s="6" t="s">
        <v>79</v>
      </c>
      <c r="H4" s="7">
        <f>391.83*1.0814</f>
        <v>423.72496199999995</v>
      </c>
      <c r="I4" s="8">
        <f t="shared" si="0"/>
        <v>423.72496199999995</v>
      </c>
    </row>
    <row r="5" spans="1:9">
      <c r="A5" s="51"/>
      <c r="B5" s="52"/>
      <c r="C5" s="53"/>
      <c r="D5" s="54"/>
      <c r="E5" s="55"/>
      <c r="F5" s="55"/>
      <c r="G5" s="6" t="s">
        <v>80</v>
      </c>
      <c r="H5" s="7">
        <v>414.07</v>
      </c>
      <c r="I5" s="8">
        <f t="shared" si="0"/>
        <v>414.07</v>
      </c>
    </row>
    <row r="6" spans="1:9">
      <c r="A6" s="51"/>
      <c r="B6" s="52"/>
      <c r="C6" s="53"/>
      <c r="D6" s="54"/>
      <c r="E6" s="55"/>
      <c r="F6" s="55"/>
      <c r="G6" s="6"/>
      <c r="H6" s="7"/>
      <c r="I6" s="8" t="str">
        <f t="shared" si="0"/>
        <v/>
      </c>
    </row>
    <row r="7" spans="1:9">
      <c r="A7" s="51"/>
      <c r="B7" s="52"/>
      <c r="C7" s="53"/>
      <c r="D7" s="54"/>
      <c r="E7" s="55"/>
      <c r="F7" s="55"/>
      <c r="G7" s="6"/>
      <c r="H7" s="7"/>
      <c r="I7" s="8" t="str">
        <f t="shared" si="0"/>
        <v/>
      </c>
    </row>
    <row r="8" spans="1:9">
      <c r="A8" s="51"/>
      <c r="B8" s="52"/>
      <c r="C8" s="53"/>
      <c r="D8" s="54"/>
      <c r="E8" s="55"/>
      <c r="F8" s="55"/>
      <c r="G8" s="6"/>
      <c r="H8" s="7"/>
      <c r="I8" s="8" t="str">
        <f t="shared" si="0"/>
        <v/>
      </c>
    </row>
    <row r="9" spans="1:9">
      <c r="A9" s="51"/>
      <c r="B9" s="52"/>
      <c r="C9" s="53"/>
      <c r="D9" s="54"/>
      <c r="E9" s="55"/>
      <c r="F9" s="55"/>
      <c r="G9" s="6"/>
      <c r="H9" s="7"/>
      <c r="I9" s="8" t="str">
        <f t="shared" si="0"/>
        <v/>
      </c>
    </row>
    <row r="10" spans="1:9">
      <c r="A10" s="51"/>
      <c r="B10" s="52"/>
      <c r="C10" s="53"/>
      <c r="D10" s="54"/>
      <c r="E10" s="55"/>
      <c r="F10" s="55"/>
      <c r="G10" s="6"/>
      <c r="H10" s="7"/>
      <c r="I10" s="8" t="str">
        <f t="shared" si="0"/>
        <v/>
      </c>
    </row>
    <row r="11" spans="1:9">
      <c r="A11" s="51"/>
      <c r="B11" s="52"/>
      <c r="C11" s="53"/>
      <c r="D11" s="54"/>
      <c r="E11" s="55"/>
      <c r="F11" s="55"/>
      <c r="G11" s="6"/>
      <c r="H11" s="7"/>
      <c r="I11" s="8" t="str">
        <f t="shared" si="0"/>
        <v/>
      </c>
    </row>
    <row r="12" spans="1:9">
      <c r="A12" s="51"/>
      <c r="B12" s="52"/>
      <c r="C12" s="53"/>
      <c r="D12" s="54"/>
      <c r="E12" s="55"/>
      <c r="F12" s="55"/>
      <c r="G12" s="6"/>
      <c r="H12" s="7"/>
      <c r="I12" s="8" t="str">
        <f t="shared" si="0"/>
        <v/>
      </c>
    </row>
    <row r="13" spans="1:9">
      <c r="A13" s="51"/>
      <c r="B13" s="52"/>
      <c r="C13" s="53"/>
      <c r="D13" s="54"/>
      <c r="E13" s="55"/>
      <c r="F13" s="55"/>
      <c r="G13" s="6"/>
      <c r="H13" s="7"/>
      <c r="I13" s="8" t="str">
        <f t="shared" si="0"/>
        <v/>
      </c>
    </row>
    <row r="14" spans="1:9">
      <c r="A14" s="51"/>
      <c r="B14" s="52"/>
      <c r="C14" s="53"/>
      <c r="D14" s="54"/>
      <c r="E14" s="55"/>
      <c r="F14" s="55"/>
      <c r="G14" s="6"/>
      <c r="H14" s="7"/>
      <c r="I14" s="8" t="str">
        <f t="shared" si="0"/>
        <v/>
      </c>
    </row>
    <row r="15" spans="1:9">
      <c r="A15" s="51"/>
      <c r="B15" s="52"/>
      <c r="C15" s="53"/>
      <c r="D15" s="54"/>
      <c r="E15" s="55"/>
      <c r="F15" s="55"/>
      <c r="G15" s="6"/>
      <c r="H15" s="7"/>
      <c r="I15" s="8" t="str">
        <f t="shared" si="0"/>
        <v/>
      </c>
    </row>
    <row r="16" spans="1:9">
      <c r="A16" s="51"/>
      <c r="B16" s="52"/>
      <c r="C16" s="53"/>
      <c r="D16" s="54"/>
      <c r="E16" s="55"/>
      <c r="F16" s="55"/>
      <c r="G16" s="6"/>
      <c r="H16" s="7"/>
      <c r="I16" s="8" t="str">
        <f t="shared" si="0"/>
        <v/>
      </c>
    </row>
    <row r="17" spans="1:11">
      <c r="A17" s="51"/>
      <c r="B17" s="52"/>
      <c r="C17" s="53"/>
      <c r="D17" s="54"/>
      <c r="E17" s="55"/>
      <c r="F17" s="55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9</v>
      </c>
      <c r="B19" s="5" t="s">
        <v>10</v>
      </c>
      <c r="C19" s="4" t="s">
        <v>11</v>
      </c>
      <c r="D19" s="16" t="s">
        <v>12</v>
      </c>
      <c r="E19" s="17" t="s">
        <v>13</v>
      </c>
      <c r="F19" s="16" t="s">
        <v>14</v>
      </c>
      <c r="G19" s="48" t="s">
        <v>15</v>
      </c>
      <c r="H19" s="48"/>
      <c r="I19" s="18"/>
    </row>
    <row r="20" spans="1:11">
      <c r="A20" s="19">
        <f>IF(B20&lt;2,"N/A",(STDEV(H3:H17)))</f>
        <v>355.9129009312818</v>
      </c>
      <c r="B20" s="19">
        <f>COUNT(H3:H17)</f>
        <v>3</v>
      </c>
      <c r="C20" s="20">
        <f>IF(B20&lt;2,"N/A",(A20/D20))</f>
        <v>0.57004436692177873</v>
      </c>
      <c r="D20" s="21">
        <f>ROUND(AVERAGE(H3:H17),2)</f>
        <v>624.36</v>
      </c>
      <c r="E20" s="22">
        <f>IFERROR(ROUND(IF(B20&lt;2,"N/A",(IF(C20&lt;=25%,"N/A",AVERAGE(I3:I17)))),2),"N/A")</f>
        <v>418.9</v>
      </c>
      <c r="F20" s="22">
        <f>ROUND(MEDIAN(H3:H17),2)</f>
        <v>423.72</v>
      </c>
      <c r="G20" s="23" t="str">
        <f>INDEX(G3:G17,MATCH(H20,H3:H17,0))</f>
        <v>TRE-SC - UNIMED - Contr. 18/18 - Ap. 20/21</v>
      </c>
      <c r="H20" s="24">
        <f>MIN(H3:H17)</f>
        <v>414.07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49"/>
      <c r="E22" s="49"/>
      <c r="F22" s="30"/>
      <c r="G22" s="31" t="s">
        <v>16</v>
      </c>
      <c r="H22" s="32">
        <f>IF(C20&lt;=25%,D20,MIN(E20:F20))</f>
        <v>418.9</v>
      </c>
    </row>
    <row r="23" spans="1:11">
      <c r="B23" s="25"/>
      <c r="C23" s="25"/>
      <c r="D23" s="49"/>
      <c r="E23" s="49"/>
      <c r="F23" s="33"/>
      <c r="G23" s="4" t="s">
        <v>17</v>
      </c>
      <c r="H23" s="24">
        <f>ROUND(H22,2)*D3</f>
        <v>31417.5</v>
      </c>
    </row>
    <row r="24" spans="1:11">
      <c r="B24" s="29"/>
      <c r="C24" s="29"/>
      <c r="D24" s="18"/>
      <c r="E24" s="18"/>
    </row>
    <row r="26" spans="1:11" ht="12.75" customHeight="1">
      <c r="A26" s="46" t="s">
        <v>18</v>
      </c>
      <c r="B26" s="46"/>
      <c r="C26" s="46"/>
      <c r="D26" s="46"/>
      <c r="E26" s="46"/>
      <c r="F26" s="46"/>
      <c r="G26" s="46"/>
      <c r="H26" s="46"/>
      <c r="I26" s="46"/>
    </row>
    <row r="27" spans="1:11" ht="12.75" customHeight="1">
      <c r="A27" s="46" t="s">
        <v>19</v>
      </c>
      <c r="B27" s="46"/>
      <c r="C27" s="46"/>
      <c r="D27" s="46"/>
      <c r="E27" s="46"/>
      <c r="F27" s="46"/>
      <c r="G27" s="46"/>
      <c r="H27" s="46"/>
      <c r="I27" s="46"/>
    </row>
    <row r="28" spans="1:11" ht="12.75" customHeight="1">
      <c r="A28" s="46" t="s">
        <v>20</v>
      </c>
      <c r="B28" s="46"/>
      <c r="C28" s="46"/>
      <c r="D28" s="46"/>
      <c r="E28" s="46"/>
      <c r="F28" s="46"/>
      <c r="G28" s="46"/>
      <c r="H28" s="46"/>
      <c r="I28" s="46"/>
    </row>
    <row r="29" spans="1:11" ht="12.75" customHeight="1">
      <c r="A29" s="46" t="s">
        <v>21</v>
      </c>
      <c r="B29" s="46"/>
      <c r="C29" s="46"/>
      <c r="D29" s="46"/>
      <c r="E29" s="46"/>
      <c r="F29" s="46"/>
      <c r="G29" s="46"/>
      <c r="H29" s="46"/>
      <c r="I29" s="46"/>
    </row>
    <row r="30" spans="1:11" ht="12.75" customHeight="1">
      <c r="A30" s="46" t="s">
        <v>22</v>
      </c>
      <c r="B30" s="46"/>
      <c r="C30" s="46"/>
      <c r="D30" s="46"/>
      <c r="E30" s="46"/>
      <c r="F30" s="46"/>
      <c r="G30" s="46"/>
      <c r="H30" s="46"/>
      <c r="I30" s="46"/>
    </row>
    <row r="31" spans="1:11" ht="12.75" customHeight="1">
      <c r="A31" s="46" t="s">
        <v>23</v>
      </c>
      <c r="B31" s="46"/>
      <c r="C31" s="46"/>
      <c r="D31" s="46"/>
      <c r="E31" s="46"/>
      <c r="F31" s="46"/>
      <c r="G31" s="46"/>
      <c r="H31" s="46"/>
      <c r="I31" s="46"/>
    </row>
    <row r="32" spans="1:11" ht="24.75" customHeight="1">
      <c r="A32" s="47" t="s">
        <v>24</v>
      </c>
      <c r="B32" s="47"/>
      <c r="C32" s="47"/>
      <c r="D32" s="47"/>
      <c r="E32" s="47"/>
      <c r="F32" s="47"/>
      <c r="G32" s="47"/>
      <c r="H32" s="47"/>
      <c r="I32" s="47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zoomScaleNormal="100" workbookViewId="0">
      <selection activeCell="H6" sqref="H6"/>
    </sheetView>
  </sheetViews>
  <sheetFormatPr defaultColWidth="9.140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1024" width="9.140625" style="1"/>
  </cols>
  <sheetData>
    <row r="1" spans="1:9" ht="15.75">
      <c r="A1" s="50" t="s">
        <v>0</v>
      </c>
      <c r="B1" s="50"/>
      <c r="C1" s="50"/>
      <c r="D1" s="50"/>
      <c r="E1" s="50"/>
      <c r="F1" s="50"/>
      <c r="G1" s="50"/>
      <c r="H1" s="50"/>
      <c r="I1" s="50"/>
    </row>
    <row r="2" spans="1:9" ht="25.5">
      <c r="A2" s="51" t="s">
        <v>71</v>
      </c>
      <c r="B2" s="2" t="s">
        <v>1</v>
      </c>
      <c r="C2" s="2" t="s">
        <v>2</v>
      </c>
      <c r="D2" s="2" t="s">
        <v>3</v>
      </c>
      <c r="E2" s="3" t="s">
        <v>4</v>
      </c>
      <c r="F2" s="3" t="s">
        <v>5</v>
      </c>
      <c r="G2" s="2" t="s">
        <v>6</v>
      </c>
      <c r="H2" s="4" t="s">
        <v>7</v>
      </c>
      <c r="I2" s="5" t="s">
        <v>8</v>
      </c>
    </row>
    <row r="3" spans="1:9" ht="12.75" customHeight="1">
      <c r="A3" s="51"/>
      <c r="B3" s="52" t="s">
        <v>68</v>
      </c>
      <c r="C3" s="53" t="s">
        <v>60</v>
      </c>
      <c r="D3" s="54">
        <v>33</v>
      </c>
      <c r="E3" s="55">
        <f>IF(C20&lt;=25%,D20,MIN(E20:F20))</f>
        <v>471.67</v>
      </c>
      <c r="F3" s="55">
        <f>MIN(H3:H17)</f>
        <v>468.81</v>
      </c>
      <c r="G3" s="6" t="s">
        <v>78</v>
      </c>
      <c r="H3" s="7">
        <v>1397.1</v>
      </c>
      <c r="I3" s="8" t="str">
        <f t="shared" ref="I3:I17" si="0">IF(H3="","",(IF($C$20&lt;25%,"N/A",IF(H3&lt;=($D$20+$A$20),H3,"Descartado"))))</f>
        <v>Descartado</v>
      </c>
    </row>
    <row r="4" spans="1:9">
      <c r="A4" s="51"/>
      <c r="B4" s="52"/>
      <c r="C4" s="53"/>
      <c r="D4" s="54"/>
      <c r="E4" s="55"/>
      <c r="F4" s="55"/>
      <c r="G4" s="6" t="s">
        <v>79</v>
      </c>
      <c r="H4" s="7">
        <f>438.81*1.0814</f>
        <v>474.52913399999994</v>
      </c>
      <c r="I4" s="8">
        <f t="shared" si="0"/>
        <v>474.52913399999994</v>
      </c>
    </row>
    <row r="5" spans="1:9">
      <c r="A5" s="51"/>
      <c r="B5" s="52"/>
      <c r="C5" s="53"/>
      <c r="D5" s="54"/>
      <c r="E5" s="55"/>
      <c r="F5" s="55"/>
      <c r="G5" s="6" t="s">
        <v>80</v>
      </c>
      <c r="H5" s="7">
        <v>468.81</v>
      </c>
      <c r="I5" s="8">
        <f t="shared" si="0"/>
        <v>468.81</v>
      </c>
    </row>
    <row r="6" spans="1:9">
      <c r="A6" s="51"/>
      <c r="B6" s="52"/>
      <c r="C6" s="53"/>
      <c r="D6" s="54"/>
      <c r="E6" s="55"/>
      <c r="F6" s="55"/>
      <c r="G6" s="6"/>
      <c r="H6" s="7"/>
      <c r="I6" s="8" t="str">
        <f t="shared" si="0"/>
        <v/>
      </c>
    </row>
    <row r="7" spans="1:9">
      <c r="A7" s="51"/>
      <c r="B7" s="52"/>
      <c r="C7" s="53"/>
      <c r="D7" s="54"/>
      <c r="E7" s="55"/>
      <c r="F7" s="55"/>
      <c r="G7" s="6"/>
      <c r="H7" s="7"/>
      <c r="I7" s="8" t="str">
        <f t="shared" si="0"/>
        <v/>
      </c>
    </row>
    <row r="8" spans="1:9">
      <c r="A8" s="51"/>
      <c r="B8" s="52"/>
      <c r="C8" s="53"/>
      <c r="D8" s="54"/>
      <c r="E8" s="55"/>
      <c r="F8" s="55"/>
      <c r="G8" s="6"/>
      <c r="H8" s="7"/>
      <c r="I8" s="8" t="str">
        <f t="shared" si="0"/>
        <v/>
      </c>
    </row>
    <row r="9" spans="1:9">
      <c r="A9" s="51"/>
      <c r="B9" s="52"/>
      <c r="C9" s="53"/>
      <c r="D9" s="54"/>
      <c r="E9" s="55"/>
      <c r="F9" s="55"/>
      <c r="G9" s="6"/>
      <c r="H9" s="7"/>
      <c r="I9" s="8" t="str">
        <f t="shared" si="0"/>
        <v/>
      </c>
    </row>
    <row r="10" spans="1:9">
      <c r="A10" s="51"/>
      <c r="B10" s="52"/>
      <c r="C10" s="53"/>
      <c r="D10" s="54"/>
      <c r="E10" s="55"/>
      <c r="F10" s="55"/>
      <c r="G10" s="6"/>
      <c r="H10" s="7"/>
      <c r="I10" s="8" t="str">
        <f t="shared" si="0"/>
        <v/>
      </c>
    </row>
    <row r="11" spans="1:9">
      <c r="A11" s="51"/>
      <c r="B11" s="52"/>
      <c r="C11" s="53"/>
      <c r="D11" s="54"/>
      <c r="E11" s="55"/>
      <c r="F11" s="55"/>
      <c r="G11" s="6"/>
      <c r="H11" s="7"/>
      <c r="I11" s="8" t="str">
        <f t="shared" si="0"/>
        <v/>
      </c>
    </row>
    <row r="12" spans="1:9">
      <c r="A12" s="51"/>
      <c r="B12" s="52"/>
      <c r="C12" s="53"/>
      <c r="D12" s="54"/>
      <c r="E12" s="55"/>
      <c r="F12" s="55"/>
      <c r="G12" s="6"/>
      <c r="H12" s="7"/>
      <c r="I12" s="8" t="str">
        <f t="shared" si="0"/>
        <v/>
      </c>
    </row>
    <row r="13" spans="1:9">
      <c r="A13" s="51"/>
      <c r="B13" s="52"/>
      <c r="C13" s="53"/>
      <c r="D13" s="54"/>
      <c r="E13" s="55"/>
      <c r="F13" s="55"/>
      <c r="G13" s="6"/>
      <c r="H13" s="7"/>
      <c r="I13" s="8" t="str">
        <f t="shared" si="0"/>
        <v/>
      </c>
    </row>
    <row r="14" spans="1:9">
      <c r="A14" s="51"/>
      <c r="B14" s="52"/>
      <c r="C14" s="53"/>
      <c r="D14" s="54"/>
      <c r="E14" s="55"/>
      <c r="F14" s="55"/>
      <c r="G14" s="6"/>
      <c r="H14" s="7"/>
      <c r="I14" s="8" t="str">
        <f t="shared" si="0"/>
        <v/>
      </c>
    </row>
    <row r="15" spans="1:9">
      <c r="A15" s="51"/>
      <c r="B15" s="52"/>
      <c r="C15" s="53"/>
      <c r="D15" s="54"/>
      <c r="E15" s="55"/>
      <c r="F15" s="55"/>
      <c r="G15" s="6"/>
      <c r="H15" s="7"/>
      <c r="I15" s="8" t="str">
        <f t="shared" si="0"/>
        <v/>
      </c>
    </row>
    <row r="16" spans="1:9">
      <c r="A16" s="51"/>
      <c r="B16" s="52"/>
      <c r="C16" s="53"/>
      <c r="D16" s="54"/>
      <c r="E16" s="55"/>
      <c r="F16" s="55"/>
      <c r="G16" s="6"/>
      <c r="H16" s="7"/>
      <c r="I16" s="8" t="str">
        <f t="shared" si="0"/>
        <v/>
      </c>
    </row>
    <row r="17" spans="1:11">
      <c r="A17" s="51"/>
      <c r="B17" s="52"/>
      <c r="C17" s="53"/>
      <c r="D17" s="54"/>
      <c r="E17" s="55"/>
      <c r="F17" s="55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9</v>
      </c>
      <c r="B19" s="5" t="s">
        <v>10</v>
      </c>
      <c r="C19" s="4" t="s">
        <v>11</v>
      </c>
      <c r="D19" s="16" t="s">
        <v>12</v>
      </c>
      <c r="E19" s="17" t="s">
        <v>13</v>
      </c>
      <c r="F19" s="16" t="s">
        <v>14</v>
      </c>
      <c r="G19" s="48" t="s">
        <v>15</v>
      </c>
      <c r="H19" s="48"/>
      <c r="I19" s="18"/>
    </row>
    <row r="20" spans="1:11">
      <c r="A20" s="19">
        <f>IF(B20&lt;2,"N/A",(STDEV(H3:H17)))</f>
        <v>534.30516177332288</v>
      </c>
      <c r="B20" s="19">
        <f>COUNT(H3:H17)</f>
        <v>3</v>
      </c>
      <c r="C20" s="20">
        <f>IF(B20&lt;2,"N/A",(A20/D20))</f>
        <v>0.68487491094446307</v>
      </c>
      <c r="D20" s="21">
        <f>ROUND(AVERAGE(H3:H17),2)</f>
        <v>780.15</v>
      </c>
      <c r="E20" s="22">
        <f>IFERROR(ROUND(IF(B20&lt;2,"N/A",(IF(C20&lt;=25%,"N/A",AVERAGE(I3:I17)))),2),"N/A")</f>
        <v>471.67</v>
      </c>
      <c r="F20" s="22">
        <f>ROUND(MEDIAN(H3:H17),2)</f>
        <v>474.53</v>
      </c>
      <c r="G20" s="23" t="str">
        <f>INDEX(G3:G17,MATCH(H20,H3:H17,0))</f>
        <v>TRE-SC - UNIMED - Contr. 18/18 - Ap. 20/21</v>
      </c>
      <c r="H20" s="24">
        <f>MIN(H3:H17)</f>
        <v>468.81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49"/>
      <c r="E22" s="49"/>
      <c r="F22" s="30"/>
      <c r="G22" s="31" t="s">
        <v>16</v>
      </c>
      <c r="H22" s="32">
        <f>IF(C20&lt;=25%,D20,MIN(E20:F20))</f>
        <v>471.67</v>
      </c>
    </row>
    <row r="23" spans="1:11">
      <c r="B23" s="25"/>
      <c r="C23" s="25"/>
      <c r="D23" s="49"/>
      <c r="E23" s="49"/>
      <c r="F23" s="33"/>
      <c r="G23" s="4" t="s">
        <v>17</v>
      </c>
      <c r="H23" s="24">
        <f>ROUND(H22,2)*D3</f>
        <v>15565.11</v>
      </c>
    </row>
    <row r="24" spans="1:11">
      <c r="B24" s="29"/>
      <c r="C24" s="29"/>
      <c r="D24" s="18"/>
      <c r="E24" s="18"/>
    </row>
    <row r="26" spans="1:11" ht="12.75" customHeight="1">
      <c r="A26" s="46" t="s">
        <v>18</v>
      </c>
      <c r="B26" s="46"/>
      <c r="C26" s="46"/>
      <c r="D26" s="46"/>
      <c r="E26" s="46"/>
      <c r="F26" s="46"/>
      <c r="G26" s="46"/>
      <c r="H26" s="46"/>
      <c r="I26" s="46"/>
    </row>
    <row r="27" spans="1:11" ht="12.75" customHeight="1">
      <c r="A27" s="46" t="s">
        <v>19</v>
      </c>
      <c r="B27" s="46"/>
      <c r="C27" s="46"/>
      <c r="D27" s="46"/>
      <c r="E27" s="46"/>
      <c r="F27" s="46"/>
      <c r="G27" s="46"/>
      <c r="H27" s="46"/>
      <c r="I27" s="46"/>
    </row>
    <row r="28" spans="1:11" ht="12.75" customHeight="1">
      <c r="A28" s="46" t="s">
        <v>20</v>
      </c>
      <c r="B28" s="46"/>
      <c r="C28" s="46"/>
      <c r="D28" s="46"/>
      <c r="E28" s="46"/>
      <c r="F28" s="46"/>
      <c r="G28" s="46"/>
      <c r="H28" s="46"/>
      <c r="I28" s="46"/>
    </row>
    <row r="29" spans="1:11" ht="12.75" customHeight="1">
      <c r="A29" s="46" t="s">
        <v>21</v>
      </c>
      <c r="B29" s="46"/>
      <c r="C29" s="46"/>
      <c r="D29" s="46"/>
      <c r="E29" s="46"/>
      <c r="F29" s="46"/>
      <c r="G29" s="46"/>
      <c r="H29" s="46"/>
      <c r="I29" s="46"/>
    </row>
    <row r="30" spans="1:11" ht="12.75" customHeight="1">
      <c r="A30" s="46" t="s">
        <v>22</v>
      </c>
      <c r="B30" s="46"/>
      <c r="C30" s="46"/>
      <c r="D30" s="46"/>
      <c r="E30" s="46"/>
      <c r="F30" s="46"/>
      <c r="G30" s="46"/>
      <c r="H30" s="46"/>
      <c r="I30" s="46"/>
    </row>
    <row r="31" spans="1:11" ht="12.75" customHeight="1">
      <c r="A31" s="46" t="s">
        <v>23</v>
      </c>
      <c r="B31" s="46"/>
      <c r="C31" s="46"/>
      <c r="D31" s="46"/>
      <c r="E31" s="46"/>
      <c r="F31" s="46"/>
      <c r="G31" s="46"/>
      <c r="H31" s="46"/>
      <c r="I31" s="46"/>
    </row>
    <row r="32" spans="1:11" ht="24.75" customHeight="1">
      <c r="A32" s="47" t="s">
        <v>24</v>
      </c>
      <c r="B32" s="47"/>
      <c r="C32" s="47"/>
      <c r="D32" s="47"/>
      <c r="E32" s="47"/>
      <c r="F32" s="47"/>
      <c r="G32" s="47"/>
      <c r="H32" s="47"/>
      <c r="I32" s="47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zoomScaleNormal="100" workbookViewId="0">
      <selection activeCell="H6" sqref="H6"/>
    </sheetView>
  </sheetViews>
  <sheetFormatPr defaultColWidth="9.140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1024" width="9.140625" style="1"/>
  </cols>
  <sheetData>
    <row r="1" spans="1:9" ht="15.75">
      <c r="A1" s="50" t="s">
        <v>0</v>
      </c>
      <c r="B1" s="50"/>
      <c r="C1" s="50"/>
      <c r="D1" s="50"/>
      <c r="E1" s="50"/>
      <c r="F1" s="50"/>
      <c r="G1" s="50"/>
      <c r="H1" s="50"/>
      <c r="I1" s="50"/>
    </row>
    <row r="2" spans="1:9" ht="25.5">
      <c r="A2" s="51" t="s">
        <v>71</v>
      </c>
      <c r="B2" s="2" t="s">
        <v>1</v>
      </c>
      <c r="C2" s="2" t="s">
        <v>2</v>
      </c>
      <c r="D2" s="2" t="s">
        <v>3</v>
      </c>
      <c r="E2" s="3" t="s">
        <v>4</v>
      </c>
      <c r="F2" s="3" t="s">
        <v>5</v>
      </c>
      <c r="G2" s="2" t="s">
        <v>6</v>
      </c>
      <c r="H2" s="4" t="s">
        <v>7</v>
      </c>
      <c r="I2" s="5" t="s">
        <v>8</v>
      </c>
    </row>
    <row r="3" spans="1:9" ht="12.75" customHeight="1">
      <c r="A3" s="51"/>
      <c r="B3" s="52" t="s">
        <v>62</v>
      </c>
      <c r="C3" s="53" t="s">
        <v>60</v>
      </c>
      <c r="D3" s="54">
        <v>16</v>
      </c>
      <c r="E3" s="55">
        <f>IF(C20&lt;=25%,D20,MIN(E20:F20))</f>
        <v>562.80999999999995</v>
      </c>
      <c r="F3" s="55">
        <f>MIN(H3:H17)</f>
        <v>532.47</v>
      </c>
      <c r="G3" s="6" t="s">
        <v>78</v>
      </c>
      <c r="H3" s="7">
        <v>1451.97</v>
      </c>
      <c r="I3" s="8" t="str">
        <f t="shared" ref="I3:I17" si="0">IF(H3="","",(IF($C$20&lt;25%,"N/A",IF(H3&lt;=($D$20+$A$20),H3,"Descartado"))))</f>
        <v>Descartado</v>
      </c>
    </row>
    <row r="4" spans="1:9">
      <c r="A4" s="51"/>
      <c r="B4" s="52"/>
      <c r="C4" s="53"/>
      <c r="D4" s="54"/>
      <c r="E4" s="55"/>
      <c r="F4" s="55"/>
      <c r="G4" s="6" t="s">
        <v>79</v>
      </c>
      <c r="H4" s="7">
        <f>548.51*1.0814</f>
        <v>593.15871399999992</v>
      </c>
      <c r="I4" s="8">
        <f t="shared" si="0"/>
        <v>593.15871399999992</v>
      </c>
    </row>
    <row r="5" spans="1:9">
      <c r="A5" s="51"/>
      <c r="B5" s="52"/>
      <c r="C5" s="53"/>
      <c r="D5" s="54"/>
      <c r="E5" s="55"/>
      <c r="F5" s="55"/>
      <c r="G5" s="6" t="s">
        <v>80</v>
      </c>
      <c r="H5" s="7">
        <v>532.47</v>
      </c>
      <c r="I5" s="8">
        <f t="shared" si="0"/>
        <v>532.47</v>
      </c>
    </row>
    <row r="6" spans="1:9">
      <c r="A6" s="51"/>
      <c r="B6" s="52"/>
      <c r="C6" s="53"/>
      <c r="D6" s="54"/>
      <c r="E6" s="55"/>
      <c r="F6" s="55"/>
      <c r="G6" s="6"/>
      <c r="H6" s="7"/>
      <c r="I6" s="8" t="str">
        <f t="shared" si="0"/>
        <v/>
      </c>
    </row>
    <row r="7" spans="1:9">
      <c r="A7" s="51"/>
      <c r="B7" s="52"/>
      <c r="C7" s="53"/>
      <c r="D7" s="54"/>
      <c r="E7" s="55"/>
      <c r="F7" s="55"/>
      <c r="G7" s="6"/>
      <c r="H7" s="7"/>
      <c r="I7" s="8" t="str">
        <f t="shared" si="0"/>
        <v/>
      </c>
    </row>
    <row r="8" spans="1:9">
      <c r="A8" s="51"/>
      <c r="B8" s="52"/>
      <c r="C8" s="53"/>
      <c r="D8" s="54"/>
      <c r="E8" s="55"/>
      <c r="F8" s="55"/>
      <c r="G8" s="6"/>
      <c r="H8" s="7"/>
      <c r="I8" s="8" t="str">
        <f t="shared" si="0"/>
        <v/>
      </c>
    </row>
    <row r="9" spans="1:9">
      <c r="A9" s="51"/>
      <c r="B9" s="52"/>
      <c r="C9" s="53"/>
      <c r="D9" s="54"/>
      <c r="E9" s="55"/>
      <c r="F9" s="55"/>
      <c r="G9" s="6"/>
      <c r="H9" s="7"/>
      <c r="I9" s="8" t="str">
        <f t="shared" si="0"/>
        <v/>
      </c>
    </row>
    <row r="10" spans="1:9">
      <c r="A10" s="51"/>
      <c r="B10" s="52"/>
      <c r="C10" s="53"/>
      <c r="D10" s="54"/>
      <c r="E10" s="55"/>
      <c r="F10" s="55"/>
      <c r="G10" s="6"/>
      <c r="H10" s="7"/>
      <c r="I10" s="8" t="str">
        <f t="shared" si="0"/>
        <v/>
      </c>
    </row>
    <row r="11" spans="1:9">
      <c r="A11" s="51"/>
      <c r="B11" s="52"/>
      <c r="C11" s="53"/>
      <c r="D11" s="54"/>
      <c r="E11" s="55"/>
      <c r="F11" s="55"/>
      <c r="G11" s="6"/>
      <c r="H11" s="7"/>
      <c r="I11" s="8" t="str">
        <f t="shared" si="0"/>
        <v/>
      </c>
    </row>
    <row r="12" spans="1:9">
      <c r="A12" s="51"/>
      <c r="B12" s="52"/>
      <c r="C12" s="53"/>
      <c r="D12" s="54"/>
      <c r="E12" s="55"/>
      <c r="F12" s="55"/>
      <c r="G12" s="6"/>
      <c r="H12" s="7"/>
      <c r="I12" s="8" t="str">
        <f t="shared" si="0"/>
        <v/>
      </c>
    </row>
    <row r="13" spans="1:9">
      <c r="A13" s="51"/>
      <c r="B13" s="52"/>
      <c r="C13" s="53"/>
      <c r="D13" s="54"/>
      <c r="E13" s="55"/>
      <c r="F13" s="55"/>
      <c r="G13" s="6"/>
      <c r="H13" s="7"/>
      <c r="I13" s="8" t="str">
        <f t="shared" si="0"/>
        <v/>
      </c>
    </row>
    <row r="14" spans="1:9">
      <c r="A14" s="51"/>
      <c r="B14" s="52"/>
      <c r="C14" s="53"/>
      <c r="D14" s="54"/>
      <c r="E14" s="55"/>
      <c r="F14" s="55"/>
      <c r="G14" s="6"/>
      <c r="H14" s="7"/>
      <c r="I14" s="8" t="str">
        <f t="shared" si="0"/>
        <v/>
      </c>
    </row>
    <row r="15" spans="1:9">
      <c r="A15" s="51"/>
      <c r="B15" s="52"/>
      <c r="C15" s="53"/>
      <c r="D15" s="54"/>
      <c r="E15" s="55"/>
      <c r="F15" s="55"/>
      <c r="G15" s="6"/>
      <c r="H15" s="7"/>
      <c r="I15" s="8" t="str">
        <f t="shared" si="0"/>
        <v/>
      </c>
    </row>
    <row r="16" spans="1:9">
      <c r="A16" s="51"/>
      <c r="B16" s="52"/>
      <c r="C16" s="53"/>
      <c r="D16" s="54"/>
      <c r="E16" s="55"/>
      <c r="F16" s="55"/>
      <c r="G16" s="6"/>
      <c r="H16" s="7"/>
      <c r="I16" s="8" t="str">
        <f t="shared" si="0"/>
        <v/>
      </c>
    </row>
    <row r="17" spans="1:11">
      <c r="A17" s="51"/>
      <c r="B17" s="52"/>
      <c r="C17" s="53"/>
      <c r="D17" s="54"/>
      <c r="E17" s="55"/>
      <c r="F17" s="55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9</v>
      </c>
      <c r="B19" s="5" t="s">
        <v>10</v>
      </c>
      <c r="C19" s="4" t="s">
        <v>11</v>
      </c>
      <c r="D19" s="16" t="s">
        <v>12</v>
      </c>
      <c r="E19" s="17" t="s">
        <v>13</v>
      </c>
      <c r="F19" s="16" t="s">
        <v>14</v>
      </c>
      <c r="G19" s="48" t="s">
        <v>15</v>
      </c>
      <c r="H19" s="48"/>
      <c r="I19" s="18"/>
    </row>
    <row r="20" spans="1:11">
      <c r="A20" s="19">
        <f>IF(B20&lt;2,"N/A",(STDEV(H3:H17)))</f>
        <v>514.25029492261024</v>
      </c>
      <c r="B20" s="19">
        <f>COUNT(H3:H17)</f>
        <v>3</v>
      </c>
      <c r="C20" s="20">
        <f>IF(B20&lt;2,"N/A",(A20/D20))</f>
        <v>0.59852222407193922</v>
      </c>
      <c r="D20" s="21">
        <f>ROUND(AVERAGE(H3:H17),2)</f>
        <v>859.2</v>
      </c>
      <c r="E20" s="22">
        <f>IFERROR(ROUND(IF(B20&lt;2,"N/A",(IF(C20&lt;=25%,"N/A",AVERAGE(I3:I17)))),2),"N/A")</f>
        <v>562.80999999999995</v>
      </c>
      <c r="F20" s="22">
        <f>ROUND(MEDIAN(H3:H17),2)</f>
        <v>593.16</v>
      </c>
      <c r="G20" s="23" t="str">
        <f>INDEX(G3:G17,MATCH(H20,H3:H17,0))</f>
        <v>TRE-SC - UNIMED - Contr. 18/18 - Ap. 20/21</v>
      </c>
      <c r="H20" s="24">
        <f>MIN(H3:H17)</f>
        <v>532.47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49"/>
      <c r="E22" s="49"/>
      <c r="F22" s="30"/>
      <c r="G22" s="31" t="s">
        <v>16</v>
      </c>
      <c r="H22" s="32">
        <f>IF(C20&lt;=25%,D20,MIN(E20:F20))</f>
        <v>562.80999999999995</v>
      </c>
    </row>
    <row r="23" spans="1:11">
      <c r="B23" s="25"/>
      <c r="C23" s="25"/>
      <c r="D23" s="49"/>
      <c r="E23" s="49"/>
      <c r="F23" s="33"/>
      <c r="G23" s="4" t="s">
        <v>17</v>
      </c>
      <c r="H23" s="24">
        <f>ROUND(H22,2)*D3</f>
        <v>9004.9599999999991</v>
      </c>
    </row>
    <row r="24" spans="1:11">
      <c r="B24" s="29"/>
      <c r="C24" s="29"/>
      <c r="D24" s="18"/>
      <c r="E24" s="18"/>
    </row>
    <row r="26" spans="1:11" ht="12.75" customHeight="1">
      <c r="A26" s="46" t="s">
        <v>18</v>
      </c>
      <c r="B26" s="46"/>
      <c r="C26" s="46"/>
      <c r="D26" s="46"/>
      <c r="E26" s="46"/>
      <c r="F26" s="46"/>
      <c r="G26" s="46"/>
      <c r="H26" s="46"/>
      <c r="I26" s="46"/>
    </row>
    <row r="27" spans="1:11" ht="12.75" customHeight="1">
      <c r="A27" s="46" t="s">
        <v>19</v>
      </c>
      <c r="B27" s="46"/>
      <c r="C27" s="46"/>
      <c r="D27" s="46"/>
      <c r="E27" s="46"/>
      <c r="F27" s="46"/>
      <c r="G27" s="46"/>
      <c r="H27" s="46"/>
      <c r="I27" s="46"/>
    </row>
    <row r="28" spans="1:11" ht="12.75" customHeight="1">
      <c r="A28" s="46" t="s">
        <v>20</v>
      </c>
      <c r="B28" s="46"/>
      <c r="C28" s="46"/>
      <c r="D28" s="46"/>
      <c r="E28" s="46"/>
      <c r="F28" s="46"/>
      <c r="G28" s="46"/>
      <c r="H28" s="46"/>
      <c r="I28" s="46"/>
    </row>
    <row r="29" spans="1:11" ht="12.75" customHeight="1">
      <c r="A29" s="46" t="s">
        <v>21</v>
      </c>
      <c r="B29" s="46"/>
      <c r="C29" s="46"/>
      <c r="D29" s="46"/>
      <c r="E29" s="46"/>
      <c r="F29" s="46"/>
      <c r="G29" s="46"/>
      <c r="H29" s="46"/>
      <c r="I29" s="46"/>
    </row>
    <row r="30" spans="1:11" ht="12.75" customHeight="1">
      <c r="A30" s="46" t="s">
        <v>22</v>
      </c>
      <c r="B30" s="46"/>
      <c r="C30" s="46"/>
      <c r="D30" s="46"/>
      <c r="E30" s="46"/>
      <c r="F30" s="46"/>
      <c r="G30" s="46"/>
      <c r="H30" s="46"/>
      <c r="I30" s="46"/>
    </row>
    <row r="31" spans="1:11" ht="12.75" customHeight="1">
      <c r="A31" s="46" t="s">
        <v>23</v>
      </c>
      <c r="B31" s="46"/>
      <c r="C31" s="46"/>
      <c r="D31" s="46"/>
      <c r="E31" s="46"/>
      <c r="F31" s="46"/>
      <c r="G31" s="46"/>
      <c r="H31" s="46"/>
      <c r="I31" s="46"/>
    </row>
    <row r="32" spans="1:11" ht="24.75" customHeight="1">
      <c r="A32" s="47" t="s">
        <v>24</v>
      </c>
      <c r="B32" s="47"/>
      <c r="C32" s="47"/>
      <c r="D32" s="47"/>
      <c r="E32" s="47"/>
      <c r="F32" s="47"/>
      <c r="G32" s="47"/>
      <c r="H32" s="47"/>
      <c r="I32" s="47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zoomScaleNormal="100" workbookViewId="0">
      <selection activeCell="H6" sqref="H6"/>
    </sheetView>
  </sheetViews>
  <sheetFormatPr defaultColWidth="9.140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1024" width="9.140625" style="1"/>
  </cols>
  <sheetData>
    <row r="1" spans="1:9" ht="15.75">
      <c r="A1" s="50" t="s">
        <v>0</v>
      </c>
      <c r="B1" s="50"/>
      <c r="C1" s="50"/>
      <c r="D1" s="50"/>
      <c r="E1" s="50"/>
      <c r="F1" s="50"/>
      <c r="G1" s="50"/>
      <c r="H1" s="50"/>
      <c r="I1" s="50"/>
    </row>
    <row r="2" spans="1:9" ht="25.5">
      <c r="A2" s="51" t="s">
        <v>71</v>
      </c>
      <c r="B2" s="2" t="s">
        <v>1</v>
      </c>
      <c r="C2" s="2" t="s">
        <v>2</v>
      </c>
      <c r="D2" s="2" t="s">
        <v>3</v>
      </c>
      <c r="E2" s="3" t="s">
        <v>4</v>
      </c>
      <c r="F2" s="3" t="s">
        <v>5</v>
      </c>
      <c r="G2" s="2" t="s">
        <v>6</v>
      </c>
      <c r="H2" s="4" t="s">
        <v>7</v>
      </c>
      <c r="I2" s="5" t="s">
        <v>8</v>
      </c>
    </row>
    <row r="3" spans="1:9" ht="12.75" customHeight="1">
      <c r="A3" s="51"/>
      <c r="B3" s="52" t="s">
        <v>69</v>
      </c>
      <c r="C3" s="53" t="s">
        <v>60</v>
      </c>
      <c r="D3" s="54">
        <v>21</v>
      </c>
      <c r="E3" s="55">
        <f>IF(C20&lt;=25%,D20,MIN(E20:F20))</f>
        <v>740.09</v>
      </c>
      <c r="F3" s="55">
        <f>MIN(H3:H17)</f>
        <v>679.38</v>
      </c>
      <c r="G3" s="6" t="s">
        <v>78</v>
      </c>
      <c r="H3" s="7">
        <v>1703.08</v>
      </c>
      <c r="I3" s="8" t="str">
        <f t="shared" ref="I3:I17" si="0">IF(H3="","",(IF($C$20&lt;25%,"N/A",IF(H3&lt;=($D$20+$A$20),H3,"Descartado"))))</f>
        <v>Descartado</v>
      </c>
    </row>
    <row r="4" spans="1:9">
      <c r="A4" s="51"/>
      <c r="B4" s="52"/>
      <c r="C4" s="53"/>
      <c r="D4" s="54"/>
      <c r="E4" s="55"/>
      <c r="F4" s="55"/>
      <c r="G4" s="6" t="s">
        <v>79</v>
      </c>
      <c r="H4" s="7">
        <f>740.53*1.0814</f>
        <v>800.80914199999995</v>
      </c>
      <c r="I4" s="8">
        <f t="shared" si="0"/>
        <v>800.80914199999995</v>
      </c>
    </row>
    <row r="5" spans="1:9">
      <c r="A5" s="51"/>
      <c r="B5" s="52"/>
      <c r="C5" s="53"/>
      <c r="D5" s="54"/>
      <c r="E5" s="55"/>
      <c r="F5" s="55"/>
      <c r="G5" s="6" t="s">
        <v>80</v>
      </c>
      <c r="H5" s="7">
        <v>679.38</v>
      </c>
      <c r="I5" s="8">
        <f t="shared" si="0"/>
        <v>679.38</v>
      </c>
    </row>
    <row r="6" spans="1:9">
      <c r="A6" s="51"/>
      <c r="B6" s="52"/>
      <c r="C6" s="53"/>
      <c r="D6" s="54"/>
      <c r="E6" s="55"/>
      <c r="F6" s="55"/>
      <c r="G6" s="6"/>
      <c r="H6" s="7"/>
      <c r="I6" s="8" t="str">
        <f t="shared" si="0"/>
        <v/>
      </c>
    </row>
    <row r="7" spans="1:9">
      <c r="A7" s="51"/>
      <c r="B7" s="52"/>
      <c r="C7" s="53"/>
      <c r="D7" s="54"/>
      <c r="E7" s="55"/>
      <c r="F7" s="55"/>
      <c r="G7" s="6"/>
      <c r="H7" s="7"/>
      <c r="I7" s="8" t="str">
        <f t="shared" si="0"/>
        <v/>
      </c>
    </row>
    <row r="8" spans="1:9">
      <c r="A8" s="51"/>
      <c r="B8" s="52"/>
      <c r="C8" s="53"/>
      <c r="D8" s="54"/>
      <c r="E8" s="55"/>
      <c r="F8" s="55"/>
      <c r="G8" s="6"/>
      <c r="H8" s="7"/>
      <c r="I8" s="8" t="str">
        <f t="shared" si="0"/>
        <v/>
      </c>
    </row>
    <row r="9" spans="1:9">
      <c r="A9" s="51"/>
      <c r="B9" s="52"/>
      <c r="C9" s="53"/>
      <c r="D9" s="54"/>
      <c r="E9" s="55"/>
      <c r="F9" s="55"/>
      <c r="G9" s="6"/>
      <c r="H9" s="7"/>
      <c r="I9" s="8" t="str">
        <f t="shared" si="0"/>
        <v/>
      </c>
    </row>
    <row r="10" spans="1:9">
      <c r="A10" s="51"/>
      <c r="B10" s="52"/>
      <c r="C10" s="53"/>
      <c r="D10" s="54"/>
      <c r="E10" s="55"/>
      <c r="F10" s="55"/>
      <c r="G10" s="6"/>
      <c r="H10" s="7"/>
      <c r="I10" s="8" t="str">
        <f t="shared" si="0"/>
        <v/>
      </c>
    </row>
    <row r="11" spans="1:9">
      <c r="A11" s="51"/>
      <c r="B11" s="52"/>
      <c r="C11" s="53"/>
      <c r="D11" s="54"/>
      <c r="E11" s="55"/>
      <c r="F11" s="55"/>
      <c r="G11" s="6"/>
      <c r="H11" s="7"/>
      <c r="I11" s="8" t="str">
        <f t="shared" si="0"/>
        <v/>
      </c>
    </row>
    <row r="12" spans="1:9">
      <c r="A12" s="51"/>
      <c r="B12" s="52"/>
      <c r="C12" s="53"/>
      <c r="D12" s="54"/>
      <c r="E12" s="55"/>
      <c r="F12" s="55"/>
      <c r="G12" s="6"/>
      <c r="H12" s="7"/>
      <c r="I12" s="8" t="str">
        <f t="shared" si="0"/>
        <v/>
      </c>
    </row>
    <row r="13" spans="1:9">
      <c r="A13" s="51"/>
      <c r="B13" s="52"/>
      <c r="C13" s="53"/>
      <c r="D13" s="54"/>
      <c r="E13" s="55"/>
      <c r="F13" s="55"/>
      <c r="G13" s="6"/>
      <c r="H13" s="7"/>
      <c r="I13" s="8" t="str">
        <f t="shared" si="0"/>
        <v/>
      </c>
    </row>
    <row r="14" spans="1:9">
      <c r="A14" s="51"/>
      <c r="B14" s="52"/>
      <c r="C14" s="53"/>
      <c r="D14" s="54"/>
      <c r="E14" s="55"/>
      <c r="F14" s="55"/>
      <c r="G14" s="6"/>
      <c r="H14" s="7"/>
      <c r="I14" s="8" t="str">
        <f t="shared" si="0"/>
        <v/>
      </c>
    </row>
    <row r="15" spans="1:9">
      <c r="A15" s="51"/>
      <c r="B15" s="52"/>
      <c r="C15" s="53"/>
      <c r="D15" s="54"/>
      <c r="E15" s="55"/>
      <c r="F15" s="55"/>
      <c r="G15" s="6"/>
      <c r="H15" s="7"/>
      <c r="I15" s="8" t="str">
        <f t="shared" si="0"/>
        <v/>
      </c>
    </row>
    <row r="16" spans="1:9">
      <c r="A16" s="51"/>
      <c r="B16" s="52"/>
      <c r="C16" s="53"/>
      <c r="D16" s="54"/>
      <c r="E16" s="55"/>
      <c r="F16" s="55"/>
      <c r="G16" s="6"/>
      <c r="H16" s="7"/>
      <c r="I16" s="8" t="str">
        <f t="shared" si="0"/>
        <v/>
      </c>
    </row>
    <row r="17" spans="1:11">
      <c r="A17" s="51"/>
      <c r="B17" s="52"/>
      <c r="C17" s="53"/>
      <c r="D17" s="54"/>
      <c r="E17" s="55"/>
      <c r="F17" s="55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9</v>
      </c>
      <c r="B19" s="5" t="s">
        <v>10</v>
      </c>
      <c r="C19" s="4" t="s">
        <v>11</v>
      </c>
      <c r="D19" s="16" t="s">
        <v>12</v>
      </c>
      <c r="E19" s="17" t="s">
        <v>13</v>
      </c>
      <c r="F19" s="16" t="s">
        <v>14</v>
      </c>
      <c r="G19" s="48" t="s">
        <v>15</v>
      </c>
      <c r="H19" s="48"/>
      <c r="I19" s="18"/>
    </row>
    <row r="20" spans="1:11">
      <c r="A20" s="19">
        <f>IF(B20&lt;2,"N/A",(STDEV(H3:H17)))</f>
        <v>559.28517289526405</v>
      </c>
      <c r="B20" s="19">
        <f>COUNT(H3:H17)</f>
        <v>3</v>
      </c>
      <c r="C20" s="20">
        <f>IF(B20&lt;2,"N/A",(A20/D20))</f>
        <v>0.52708551856606334</v>
      </c>
      <c r="D20" s="21">
        <f>ROUND(AVERAGE(H3:H17),2)</f>
        <v>1061.0899999999999</v>
      </c>
      <c r="E20" s="22">
        <f>IFERROR(ROUND(IF(B20&lt;2,"N/A",(IF(C20&lt;=25%,"N/A",AVERAGE(I3:I17)))),2),"N/A")</f>
        <v>740.09</v>
      </c>
      <c r="F20" s="22">
        <f>ROUND(MEDIAN(H3:H17),2)</f>
        <v>800.81</v>
      </c>
      <c r="G20" s="23" t="str">
        <f>INDEX(G3:G17,MATCH(H20,H3:H17,0))</f>
        <v>TRE-SC - UNIMED - Contr. 18/18 - Ap. 20/21</v>
      </c>
      <c r="H20" s="24">
        <f>MIN(H3:H17)</f>
        <v>679.38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49"/>
      <c r="E22" s="49"/>
      <c r="F22" s="30"/>
      <c r="G22" s="31" t="s">
        <v>16</v>
      </c>
      <c r="H22" s="32">
        <f>IF(C20&lt;=25%,D20,MIN(E20:F20))</f>
        <v>740.09</v>
      </c>
    </row>
    <row r="23" spans="1:11">
      <c r="B23" s="25"/>
      <c r="C23" s="25"/>
      <c r="D23" s="49"/>
      <c r="E23" s="49"/>
      <c r="F23" s="33"/>
      <c r="G23" s="4" t="s">
        <v>17</v>
      </c>
      <c r="H23" s="24">
        <f>ROUND(H22,2)*D3</f>
        <v>15541.890000000001</v>
      </c>
    </row>
    <row r="24" spans="1:11">
      <c r="B24" s="29"/>
      <c r="C24" s="29"/>
      <c r="D24" s="18"/>
      <c r="E24" s="18"/>
    </row>
    <row r="26" spans="1:11" ht="12.75" customHeight="1">
      <c r="A26" s="46" t="s">
        <v>18</v>
      </c>
      <c r="B26" s="46"/>
      <c r="C26" s="46"/>
      <c r="D26" s="46"/>
      <c r="E26" s="46"/>
      <c r="F26" s="46"/>
      <c r="G26" s="46"/>
      <c r="H26" s="46"/>
      <c r="I26" s="46"/>
    </row>
    <row r="27" spans="1:11" ht="12.75" customHeight="1">
      <c r="A27" s="46" t="s">
        <v>19</v>
      </c>
      <c r="B27" s="46"/>
      <c r="C27" s="46"/>
      <c r="D27" s="46"/>
      <c r="E27" s="46"/>
      <c r="F27" s="46"/>
      <c r="G27" s="46"/>
      <c r="H27" s="46"/>
      <c r="I27" s="46"/>
    </row>
    <row r="28" spans="1:11" ht="12.75" customHeight="1">
      <c r="A28" s="46" t="s">
        <v>20</v>
      </c>
      <c r="B28" s="46"/>
      <c r="C28" s="46"/>
      <c r="D28" s="46"/>
      <c r="E28" s="46"/>
      <c r="F28" s="46"/>
      <c r="G28" s="46"/>
      <c r="H28" s="46"/>
      <c r="I28" s="46"/>
    </row>
    <row r="29" spans="1:11" ht="12.75" customHeight="1">
      <c r="A29" s="46" t="s">
        <v>21</v>
      </c>
      <c r="B29" s="46"/>
      <c r="C29" s="46"/>
      <c r="D29" s="46"/>
      <c r="E29" s="46"/>
      <c r="F29" s="46"/>
      <c r="G29" s="46"/>
      <c r="H29" s="46"/>
      <c r="I29" s="46"/>
    </row>
    <row r="30" spans="1:11" ht="12.75" customHeight="1">
      <c r="A30" s="46" t="s">
        <v>22</v>
      </c>
      <c r="B30" s="46"/>
      <c r="C30" s="46"/>
      <c r="D30" s="46"/>
      <c r="E30" s="46"/>
      <c r="F30" s="46"/>
      <c r="G30" s="46"/>
      <c r="H30" s="46"/>
      <c r="I30" s="46"/>
    </row>
    <row r="31" spans="1:11" ht="12.75" customHeight="1">
      <c r="A31" s="46" t="s">
        <v>23</v>
      </c>
      <c r="B31" s="46"/>
      <c r="C31" s="46"/>
      <c r="D31" s="46"/>
      <c r="E31" s="46"/>
      <c r="F31" s="46"/>
      <c r="G31" s="46"/>
      <c r="H31" s="46"/>
      <c r="I31" s="46"/>
    </row>
    <row r="32" spans="1:11" ht="24.75" customHeight="1">
      <c r="A32" s="47" t="s">
        <v>24</v>
      </c>
      <c r="B32" s="47"/>
      <c r="C32" s="47"/>
      <c r="D32" s="47"/>
      <c r="E32" s="47"/>
      <c r="F32" s="47"/>
      <c r="G32" s="47"/>
      <c r="H32" s="47"/>
      <c r="I32" s="47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zoomScaleNormal="100" workbookViewId="0">
      <selection activeCell="H6" sqref="H6"/>
    </sheetView>
  </sheetViews>
  <sheetFormatPr defaultColWidth="9.140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1024" width="9.140625" style="1"/>
  </cols>
  <sheetData>
    <row r="1" spans="1:9" ht="15.75">
      <c r="A1" s="50" t="s">
        <v>0</v>
      </c>
      <c r="B1" s="50"/>
      <c r="C1" s="50"/>
      <c r="D1" s="50"/>
      <c r="E1" s="50"/>
      <c r="F1" s="50"/>
      <c r="G1" s="50"/>
      <c r="H1" s="50"/>
      <c r="I1" s="50"/>
    </row>
    <row r="2" spans="1:9" ht="25.5">
      <c r="A2" s="51" t="s">
        <v>72</v>
      </c>
      <c r="B2" s="2" t="s">
        <v>1</v>
      </c>
      <c r="C2" s="2" t="s">
        <v>2</v>
      </c>
      <c r="D2" s="2" t="s">
        <v>3</v>
      </c>
      <c r="E2" s="3" t="s">
        <v>4</v>
      </c>
      <c r="F2" s="3" t="s">
        <v>5</v>
      </c>
      <c r="G2" s="2" t="s">
        <v>6</v>
      </c>
      <c r="H2" s="4" t="s">
        <v>7</v>
      </c>
      <c r="I2" s="5" t="s">
        <v>8</v>
      </c>
    </row>
    <row r="3" spans="1:9" ht="12.75" customHeight="1">
      <c r="A3" s="51"/>
      <c r="B3" s="52" t="s">
        <v>63</v>
      </c>
      <c r="C3" s="53" t="s">
        <v>60</v>
      </c>
      <c r="D3" s="54">
        <v>7</v>
      </c>
      <c r="E3" s="55">
        <f>IF(C20&lt;=25%,D20,MIN(E20:F20))</f>
        <v>166.92</v>
      </c>
      <c r="F3" s="55">
        <f>MIN(H3:H17)</f>
        <v>150.16</v>
      </c>
      <c r="G3" s="6" t="s">
        <v>78</v>
      </c>
      <c r="H3" s="7">
        <v>515.54999999999995</v>
      </c>
      <c r="I3" s="8" t="str">
        <f t="shared" ref="I3:I17" si="0">IF(H3="","",(IF($C$20&lt;25%,"N/A",IF(H3&lt;=($D$20+$A$20),H3,"Descartado"))))</f>
        <v>Descartado</v>
      </c>
    </row>
    <row r="4" spans="1:9">
      <c r="A4" s="51"/>
      <c r="B4" s="52"/>
      <c r="C4" s="53"/>
      <c r="D4" s="54"/>
      <c r="E4" s="55"/>
      <c r="F4" s="55"/>
      <c r="G4" s="6" t="s">
        <v>79</v>
      </c>
      <c r="H4" s="7">
        <f>169.86*1.0814</f>
        <v>183.68660399999999</v>
      </c>
      <c r="I4" s="8">
        <f t="shared" si="0"/>
        <v>183.68660399999999</v>
      </c>
    </row>
    <row r="5" spans="1:9">
      <c r="A5" s="51"/>
      <c r="B5" s="52"/>
      <c r="C5" s="53"/>
      <c r="D5" s="54"/>
      <c r="E5" s="55"/>
      <c r="F5" s="55"/>
      <c r="G5" s="6" t="s">
        <v>81</v>
      </c>
      <c r="H5" s="7">
        <v>150.16</v>
      </c>
      <c r="I5" s="8">
        <f t="shared" si="0"/>
        <v>150.16</v>
      </c>
    </row>
    <row r="6" spans="1:9">
      <c r="A6" s="51"/>
      <c r="B6" s="52"/>
      <c r="C6" s="53"/>
      <c r="D6" s="54"/>
      <c r="E6" s="55"/>
      <c r="F6" s="55"/>
      <c r="G6" s="6"/>
      <c r="H6" s="7"/>
      <c r="I6" s="8" t="str">
        <f t="shared" si="0"/>
        <v/>
      </c>
    </row>
    <row r="7" spans="1:9">
      <c r="A7" s="51"/>
      <c r="B7" s="52"/>
      <c r="C7" s="53"/>
      <c r="D7" s="54"/>
      <c r="E7" s="55"/>
      <c r="F7" s="55"/>
      <c r="G7" s="6"/>
      <c r="H7" s="7"/>
      <c r="I7" s="8" t="str">
        <f t="shared" si="0"/>
        <v/>
      </c>
    </row>
    <row r="8" spans="1:9">
      <c r="A8" s="51"/>
      <c r="B8" s="52"/>
      <c r="C8" s="53"/>
      <c r="D8" s="54"/>
      <c r="E8" s="55"/>
      <c r="F8" s="55"/>
      <c r="G8" s="6"/>
      <c r="H8" s="7"/>
      <c r="I8" s="8" t="str">
        <f t="shared" si="0"/>
        <v/>
      </c>
    </row>
    <row r="9" spans="1:9">
      <c r="A9" s="51"/>
      <c r="B9" s="52"/>
      <c r="C9" s="53"/>
      <c r="D9" s="54"/>
      <c r="E9" s="55"/>
      <c r="F9" s="55"/>
      <c r="G9" s="6"/>
      <c r="H9" s="7"/>
      <c r="I9" s="8" t="str">
        <f t="shared" si="0"/>
        <v/>
      </c>
    </row>
    <row r="10" spans="1:9">
      <c r="A10" s="51"/>
      <c r="B10" s="52"/>
      <c r="C10" s="53"/>
      <c r="D10" s="54"/>
      <c r="E10" s="55"/>
      <c r="F10" s="55"/>
      <c r="G10" s="6"/>
      <c r="H10" s="7"/>
      <c r="I10" s="8" t="str">
        <f t="shared" si="0"/>
        <v/>
      </c>
    </row>
    <row r="11" spans="1:9">
      <c r="A11" s="51"/>
      <c r="B11" s="52"/>
      <c r="C11" s="53"/>
      <c r="D11" s="54"/>
      <c r="E11" s="55"/>
      <c r="F11" s="55"/>
      <c r="G11" s="6"/>
      <c r="H11" s="7"/>
      <c r="I11" s="8" t="str">
        <f t="shared" si="0"/>
        <v/>
      </c>
    </row>
    <row r="12" spans="1:9">
      <c r="A12" s="51"/>
      <c r="B12" s="52"/>
      <c r="C12" s="53"/>
      <c r="D12" s="54"/>
      <c r="E12" s="55"/>
      <c r="F12" s="55"/>
      <c r="G12" s="6"/>
      <c r="H12" s="7"/>
      <c r="I12" s="8" t="str">
        <f t="shared" si="0"/>
        <v/>
      </c>
    </row>
    <row r="13" spans="1:9">
      <c r="A13" s="51"/>
      <c r="B13" s="52"/>
      <c r="C13" s="53"/>
      <c r="D13" s="54"/>
      <c r="E13" s="55"/>
      <c r="F13" s="55"/>
      <c r="G13" s="6"/>
      <c r="H13" s="7"/>
      <c r="I13" s="8" t="str">
        <f t="shared" si="0"/>
        <v/>
      </c>
    </row>
    <row r="14" spans="1:9">
      <c r="A14" s="51"/>
      <c r="B14" s="52"/>
      <c r="C14" s="53"/>
      <c r="D14" s="54"/>
      <c r="E14" s="55"/>
      <c r="F14" s="55"/>
      <c r="G14" s="6"/>
      <c r="H14" s="7"/>
      <c r="I14" s="8" t="str">
        <f t="shared" si="0"/>
        <v/>
      </c>
    </row>
    <row r="15" spans="1:9">
      <c r="A15" s="51"/>
      <c r="B15" s="52"/>
      <c r="C15" s="53"/>
      <c r="D15" s="54"/>
      <c r="E15" s="55"/>
      <c r="F15" s="55"/>
      <c r="G15" s="6"/>
      <c r="H15" s="7"/>
      <c r="I15" s="8" t="str">
        <f t="shared" si="0"/>
        <v/>
      </c>
    </row>
    <row r="16" spans="1:9">
      <c r="A16" s="51"/>
      <c r="B16" s="52"/>
      <c r="C16" s="53"/>
      <c r="D16" s="54"/>
      <c r="E16" s="55"/>
      <c r="F16" s="55"/>
      <c r="G16" s="6"/>
      <c r="H16" s="7"/>
      <c r="I16" s="8" t="str">
        <f t="shared" si="0"/>
        <v/>
      </c>
    </row>
    <row r="17" spans="1:11">
      <c r="A17" s="51"/>
      <c r="B17" s="52"/>
      <c r="C17" s="53"/>
      <c r="D17" s="54"/>
      <c r="E17" s="55"/>
      <c r="F17" s="55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9</v>
      </c>
      <c r="B19" s="5" t="s">
        <v>10</v>
      </c>
      <c r="C19" s="4" t="s">
        <v>11</v>
      </c>
      <c r="D19" s="16" t="s">
        <v>12</v>
      </c>
      <c r="E19" s="17" t="s">
        <v>13</v>
      </c>
      <c r="F19" s="16" t="s">
        <v>14</v>
      </c>
      <c r="G19" s="48" t="s">
        <v>15</v>
      </c>
      <c r="H19" s="48"/>
      <c r="I19" s="18"/>
    </row>
    <row r="20" spans="1:11">
      <c r="A20" s="19">
        <f>IF(B20&lt;2,"N/A",(STDEV(H3:H17)))</f>
        <v>201.97656583558796</v>
      </c>
      <c r="B20" s="19">
        <f>COUNT(H3:H17)</f>
        <v>3</v>
      </c>
      <c r="C20" s="20">
        <f>IF(B20&lt;2,"N/A",(A20/D20))</f>
        <v>0.71337041583579264</v>
      </c>
      <c r="D20" s="21">
        <f>ROUND(AVERAGE(H3:H17),2)</f>
        <v>283.13</v>
      </c>
      <c r="E20" s="22">
        <f>IFERROR(ROUND(IF(B20&lt;2,"N/A",(IF(C20&lt;=25%,"N/A",AVERAGE(I3:I17)))),2),"N/A")</f>
        <v>166.92</v>
      </c>
      <c r="F20" s="22">
        <f>ROUND(MEDIAN(H3:H17),2)</f>
        <v>183.69</v>
      </c>
      <c r="G20" s="23" t="str">
        <f>INDEX(G3:G17,MATCH(H20,H3:H17,0))</f>
        <v>TRE-SC - UNIMED - Contr. 21/18 - Ap. 20/21</v>
      </c>
      <c r="H20" s="24">
        <f>MIN(H3:H17)</f>
        <v>150.16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49"/>
      <c r="E22" s="49"/>
      <c r="F22" s="30"/>
      <c r="G22" s="31" t="s">
        <v>16</v>
      </c>
      <c r="H22" s="32">
        <f>IF(C20&lt;=25%,D20,MIN(E20:F20))</f>
        <v>166.92</v>
      </c>
    </row>
    <row r="23" spans="1:11">
      <c r="B23" s="25"/>
      <c r="C23" s="25"/>
      <c r="D23" s="49"/>
      <c r="E23" s="49"/>
      <c r="F23" s="33"/>
      <c r="G23" s="4" t="s">
        <v>17</v>
      </c>
      <c r="H23" s="24">
        <f>ROUND(H22,2)*D3</f>
        <v>1168.4399999999998</v>
      </c>
    </row>
    <row r="24" spans="1:11">
      <c r="B24" s="29"/>
      <c r="C24" s="29"/>
      <c r="D24" s="18"/>
      <c r="E24" s="18"/>
    </row>
    <row r="26" spans="1:11" ht="12.75" customHeight="1">
      <c r="A26" s="46" t="s">
        <v>18</v>
      </c>
      <c r="B26" s="46"/>
      <c r="C26" s="46"/>
      <c r="D26" s="46"/>
      <c r="E26" s="46"/>
      <c r="F26" s="46"/>
      <c r="G26" s="46"/>
      <c r="H26" s="46"/>
      <c r="I26" s="46"/>
    </row>
    <row r="27" spans="1:11" ht="12.75" customHeight="1">
      <c r="A27" s="46" t="s">
        <v>19</v>
      </c>
      <c r="B27" s="46"/>
      <c r="C27" s="46"/>
      <c r="D27" s="46"/>
      <c r="E27" s="46"/>
      <c r="F27" s="46"/>
      <c r="G27" s="46"/>
      <c r="H27" s="46"/>
      <c r="I27" s="46"/>
    </row>
    <row r="28" spans="1:11" ht="12.75" customHeight="1">
      <c r="A28" s="46" t="s">
        <v>20</v>
      </c>
      <c r="B28" s="46"/>
      <c r="C28" s="46"/>
      <c r="D28" s="46"/>
      <c r="E28" s="46"/>
      <c r="F28" s="46"/>
      <c r="G28" s="46"/>
      <c r="H28" s="46"/>
      <c r="I28" s="46"/>
    </row>
    <row r="29" spans="1:11" ht="12.75" customHeight="1">
      <c r="A29" s="46" t="s">
        <v>21</v>
      </c>
      <c r="B29" s="46"/>
      <c r="C29" s="46"/>
      <c r="D29" s="46"/>
      <c r="E29" s="46"/>
      <c r="F29" s="46"/>
      <c r="G29" s="46"/>
      <c r="H29" s="46"/>
      <c r="I29" s="46"/>
    </row>
    <row r="30" spans="1:11" ht="12.75" customHeight="1">
      <c r="A30" s="46" t="s">
        <v>22</v>
      </c>
      <c r="B30" s="46"/>
      <c r="C30" s="46"/>
      <c r="D30" s="46"/>
      <c r="E30" s="46"/>
      <c r="F30" s="46"/>
      <c r="G30" s="46"/>
      <c r="H30" s="46"/>
      <c r="I30" s="46"/>
    </row>
    <row r="31" spans="1:11" ht="12.75" customHeight="1">
      <c r="A31" s="46" t="s">
        <v>23</v>
      </c>
      <c r="B31" s="46"/>
      <c r="C31" s="46"/>
      <c r="D31" s="46"/>
      <c r="E31" s="46"/>
      <c r="F31" s="46"/>
      <c r="G31" s="46"/>
      <c r="H31" s="46"/>
      <c r="I31" s="46"/>
    </row>
    <row r="32" spans="1:11" ht="24.75" customHeight="1">
      <c r="A32" s="47" t="s">
        <v>24</v>
      </c>
      <c r="B32" s="47"/>
      <c r="C32" s="47"/>
      <c r="D32" s="47"/>
      <c r="E32" s="47"/>
      <c r="F32" s="47"/>
      <c r="G32" s="47"/>
      <c r="H32" s="47"/>
      <c r="I32" s="47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zoomScaleNormal="100" workbookViewId="0">
      <selection activeCell="H3" sqref="H3"/>
    </sheetView>
  </sheetViews>
  <sheetFormatPr defaultColWidth="9.140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1024" width="9.140625" style="1"/>
  </cols>
  <sheetData>
    <row r="1" spans="1:9" ht="15.75">
      <c r="A1" s="50" t="s">
        <v>0</v>
      </c>
      <c r="B1" s="50"/>
      <c r="C1" s="50"/>
      <c r="D1" s="50"/>
      <c r="E1" s="50"/>
      <c r="F1" s="50"/>
      <c r="G1" s="50"/>
      <c r="H1" s="50"/>
      <c r="I1" s="50"/>
    </row>
    <row r="2" spans="1:9" ht="25.5">
      <c r="A2" s="51" t="s">
        <v>71</v>
      </c>
      <c r="B2" s="2" t="s">
        <v>1</v>
      </c>
      <c r="C2" s="2" t="s">
        <v>2</v>
      </c>
      <c r="D2" s="2" t="s">
        <v>3</v>
      </c>
      <c r="E2" s="3" t="s">
        <v>4</v>
      </c>
      <c r="F2" s="3" t="s">
        <v>5</v>
      </c>
      <c r="G2" s="2" t="s">
        <v>6</v>
      </c>
      <c r="H2" s="4" t="s">
        <v>7</v>
      </c>
      <c r="I2" s="5" t="s">
        <v>8</v>
      </c>
    </row>
    <row r="3" spans="1:9" ht="12.75" customHeight="1">
      <c r="A3" s="51"/>
      <c r="B3" s="52" t="s">
        <v>70</v>
      </c>
      <c r="C3" s="53" t="s">
        <v>60</v>
      </c>
      <c r="D3" s="54">
        <v>54</v>
      </c>
      <c r="E3" s="55">
        <f>IF(C20&lt;=25%,D20,MIN(E20:F20))</f>
        <v>968.11</v>
      </c>
      <c r="F3" s="55">
        <f>MIN(H3:H17)</f>
        <v>968.02602399999989</v>
      </c>
      <c r="G3" s="6" t="s">
        <v>78</v>
      </c>
      <c r="H3" s="7">
        <v>3419.74</v>
      </c>
      <c r="I3" s="8" t="str">
        <f t="shared" ref="I3:I17" si="0">IF(H3="","",(IF($C$20&lt;25%,"N/A",IF(H3&lt;=($D$20+$A$20),H3,"Descartado"))))</f>
        <v>Descartado</v>
      </c>
    </row>
    <row r="4" spans="1:9">
      <c r="A4" s="51"/>
      <c r="B4" s="52"/>
      <c r="C4" s="53"/>
      <c r="D4" s="54"/>
      <c r="E4" s="55"/>
      <c r="F4" s="55"/>
      <c r="G4" s="6" t="s">
        <v>79</v>
      </c>
      <c r="H4" s="7">
        <f>895.16*1.0814</f>
        <v>968.02602399999989</v>
      </c>
      <c r="I4" s="8">
        <f t="shared" si="0"/>
        <v>968.02602399999989</v>
      </c>
    </row>
    <row r="5" spans="1:9">
      <c r="A5" s="51"/>
      <c r="B5" s="52"/>
      <c r="C5" s="53"/>
      <c r="D5" s="54"/>
      <c r="E5" s="55"/>
      <c r="F5" s="55"/>
      <c r="G5" s="6" t="s">
        <v>80</v>
      </c>
      <c r="H5" s="7">
        <v>968.19</v>
      </c>
      <c r="I5" s="8">
        <f t="shared" si="0"/>
        <v>968.19</v>
      </c>
    </row>
    <row r="6" spans="1:9">
      <c r="A6" s="51"/>
      <c r="B6" s="52"/>
      <c r="C6" s="53"/>
      <c r="D6" s="54"/>
      <c r="E6" s="55"/>
      <c r="F6" s="55"/>
      <c r="G6" s="6"/>
      <c r="H6" s="7"/>
      <c r="I6" s="8" t="str">
        <f t="shared" si="0"/>
        <v/>
      </c>
    </row>
    <row r="7" spans="1:9">
      <c r="A7" s="51"/>
      <c r="B7" s="52"/>
      <c r="C7" s="53"/>
      <c r="D7" s="54"/>
      <c r="E7" s="55"/>
      <c r="F7" s="55"/>
      <c r="G7" s="6"/>
      <c r="H7" s="7"/>
      <c r="I7" s="8" t="str">
        <f t="shared" si="0"/>
        <v/>
      </c>
    </row>
    <row r="8" spans="1:9">
      <c r="A8" s="51"/>
      <c r="B8" s="52"/>
      <c r="C8" s="53"/>
      <c r="D8" s="54"/>
      <c r="E8" s="55"/>
      <c r="F8" s="55"/>
      <c r="G8" s="6"/>
      <c r="H8" s="7"/>
      <c r="I8" s="8" t="str">
        <f t="shared" si="0"/>
        <v/>
      </c>
    </row>
    <row r="9" spans="1:9">
      <c r="A9" s="51"/>
      <c r="B9" s="52"/>
      <c r="C9" s="53"/>
      <c r="D9" s="54"/>
      <c r="E9" s="55"/>
      <c r="F9" s="55"/>
      <c r="G9" s="6"/>
      <c r="H9" s="7"/>
      <c r="I9" s="8" t="str">
        <f t="shared" si="0"/>
        <v/>
      </c>
    </row>
    <row r="10" spans="1:9">
      <c r="A10" s="51"/>
      <c r="B10" s="52"/>
      <c r="C10" s="53"/>
      <c r="D10" s="54"/>
      <c r="E10" s="55"/>
      <c r="F10" s="55"/>
      <c r="G10" s="6"/>
      <c r="H10" s="7"/>
      <c r="I10" s="8" t="str">
        <f t="shared" si="0"/>
        <v/>
      </c>
    </row>
    <row r="11" spans="1:9">
      <c r="A11" s="51"/>
      <c r="B11" s="52"/>
      <c r="C11" s="53"/>
      <c r="D11" s="54"/>
      <c r="E11" s="55"/>
      <c r="F11" s="55"/>
      <c r="G11" s="6"/>
      <c r="H11" s="7"/>
      <c r="I11" s="8" t="str">
        <f t="shared" si="0"/>
        <v/>
      </c>
    </row>
    <row r="12" spans="1:9">
      <c r="A12" s="51"/>
      <c r="B12" s="52"/>
      <c r="C12" s="53"/>
      <c r="D12" s="54"/>
      <c r="E12" s="55"/>
      <c r="F12" s="55"/>
      <c r="G12" s="6"/>
      <c r="H12" s="7"/>
      <c r="I12" s="8" t="str">
        <f t="shared" si="0"/>
        <v/>
      </c>
    </row>
    <row r="13" spans="1:9">
      <c r="A13" s="51"/>
      <c r="B13" s="52"/>
      <c r="C13" s="53"/>
      <c r="D13" s="54"/>
      <c r="E13" s="55"/>
      <c r="F13" s="55"/>
      <c r="G13" s="6"/>
      <c r="H13" s="7"/>
      <c r="I13" s="8" t="str">
        <f t="shared" si="0"/>
        <v/>
      </c>
    </row>
    <row r="14" spans="1:9">
      <c r="A14" s="51"/>
      <c r="B14" s="52"/>
      <c r="C14" s="53"/>
      <c r="D14" s="54"/>
      <c r="E14" s="55"/>
      <c r="F14" s="55"/>
      <c r="G14" s="6"/>
      <c r="H14" s="7"/>
      <c r="I14" s="8" t="str">
        <f t="shared" si="0"/>
        <v/>
      </c>
    </row>
    <row r="15" spans="1:9">
      <c r="A15" s="51"/>
      <c r="B15" s="52"/>
      <c r="C15" s="53"/>
      <c r="D15" s="54"/>
      <c r="E15" s="55"/>
      <c r="F15" s="55"/>
      <c r="G15" s="6"/>
      <c r="H15" s="7"/>
      <c r="I15" s="8" t="str">
        <f t="shared" si="0"/>
        <v/>
      </c>
    </row>
    <row r="16" spans="1:9">
      <c r="A16" s="51"/>
      <c r="B16" s="52"/>
      <c r="C16" s="53"/>
      <c r="D16" s="54"/>
      <c r="E16" s="55"/>
      <c r="F16" s="55"/>
      <c r="G16" s="6"/>
      <c r="H16" s="7"/>
      <c r="I16" s="8" t="str">
        <f t="shared" si="0"/>
        <v/>
      </c>
    </row>
    <row r="17" spans="1:11">
      <c r="A17" s="51"/>
      <c r="B17" s="52"/>
      <c r="C17" s="53"/>
      <c r="D17" s="54"/>
      <c r="E17" s="55"/>
      <c r="F17" s="55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9</v>
      </c>
      <c r="B19" s="5" t="s">
        <v>10</v>
      </c>
      <c r="C19" s="4" t="s">
        <v>11</v>
      </c>
      <c r="D19" s="16" t="s">
        <v>12</v>
      </c>
      <c r="E19" s="17" t="s">
        <v>13</v>
      </c>
      <c r="F19" s="16" t="s">
        <v>14</v>
      </c>
      <c r="G19" s="48" t="s">
        <v>15</v>
      </c>
      <c r="H19" s="48"/>
      <c r="I19" s="18"/>
    </row>
    <row r="20" spans="1:11">
      <c r="A20" s="19">
        <f>IF(B20&lt;2,"N/A",(STDEV(H3:H17)))</f>
        <v>1415.450390600218</v>
      </c>
      <c r="B20" s="19">
        <f>COUNT(H3:H17)</f>
        <v>3</v>
      </c>
      <c r="C20" s="20">
        <f>IF(B20&lt;2,"N/A",(A20/D20))</f>
        <v>0.79282727499844174</v>
      </c>
      <c r="D20" s="21">
        <f>ROUND(AVERAGE(H3:H17),2)</f>
        <v>1785.32</v>
      </c>
      <c r="E20" s="22">
        <f>IFERROR(ROUND(IF(B20&lt;2,"N/A",(IF(C20&lt;=25%,"N/A",AVERAGE(I3:I17)))),2),"N/A")</f>
        <v>968.11</v>
      </c>
      <c r="F20" s="22">
        <f>ROUND(MEDIAN(H3:H17),2)</f>
        <v>968.19</v>
      </c>
      <c r="G20" s="23" t="str">
        <f>INDEX(G3:G17,MATCH(H20,H3:H17,0))</f>
        <v>TRE-PB - UNIMED JOAO PESSOA - 1º Apostilamento</v>
      </c>
      <c r="H20" s="24">
        <f>MIN(H3:H17)</f>
        <v>968.02602399999989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49"/>
      <c r="E22" s="49"/>
      <c r="F22" s="30"/>
      <c r="G22" s="31" t="s">
        <v>16</v>
      </c>
      <c r="H22" s="32">
        <f>IF(C20&lt;=25%,D20,MIN(E20:F20))</f>
        <v>968.11</v>
      </c>
    </row>
    <row r="23" spans="1:11">
      <c r="B23" s="25"/>
      <c r="C23" s="25"/>
      <c r="D23" s="49"/>
      <c r="E23" s="49"/>
      <c r="F23" s="33"/>
      <c r="G23" s="4" t="s">
        <v>17</v>
      </c>
      <c r="H23" s="24">
        <f>ROUND(H22,2)*D3</f>
        <v>52277.94</v>
      </c>
    </row>
    <row r="24" spans="1:11">
      <c r="B24" s="29"/>
      <c r="C24" s="29"/>
      <c r="D24" s="18"/>
      <c r="E24" s="18"/>
    </row>
    <row r="26" spans="1:11" ht="12.75" customHeight="1">
      <c r="A26" s="46" t="s">
        <v>18</v>
      </c>
      <c r="B26" s="46"/>
      <c r="C26" s="46"/>
      <c r="D26" s="46"/>
      <c r="E26" s="46"/>
      <c r="F26" s="46"/>
      <c r="G26" s="46"/>
      <c r="H26" s="46"/>
      <c r="I26" s="46"/>
    </row>
    <row r="27" spans="1:11" ht="12.75" customHeight="1">
      <c r="A27" s="46" t="s">
        <v>19</v>
      </c>
      <c r="B27" s="46"/>
      <c r="C27" s="46"/>
      <c r="D27" s="46"/>
      <c r="E27" s="46"/>
      <c r="F27" s="46"/>
      <c r="G27" s="46"/>
      <c r="H27" s="46"/>
      <c r="I27" s="46"/>
    </row>
    <row r="28" spans="1:11" ht="12.75" customHeight="1">
      <c r="A28" s="46" t="s">
        <v>20</v>
      </c>
      <c r="B28" s="46"/>
      <c r="C28" s="46"/>
      <c r="D28" s="46"/>
      <c r="E28" s="46"/>
      <c r="F28" s="46"/>
      <c r="G28" s="46"/>
      <c r="H28" s="46"/>
      <c r="I28" s="46"/>
    </row>
    <row r="29" spans="1:11" ht="12.75" customHeight="1">
      <c r="A29" s="46" t="s">
        <v>21</v>
      </c>
      <c r="B29" s="46"/>
      <c r="C29" s="46"/>
      <c r="D29" s="46"/>
      <c r="E29" s="46"/>
      <c r="F29" s="46"/>
      <c r="G29" s="46"/>
      <c r="H29" s="46"/>
      <c r="I29" s="46"/>
    </row>
    <row r="30" spans="1:11" ht="12.75" customHeight="1">
      <c r="A30" s="46" t="s">
        <v>22</v>
      </c>
      <c r="B30" s="46"/>
      <c r="C30" s="46"/>
      <c r="D30" s="46"/>
      <c r="E30" s="46"/>
      <c r="F30" s="46"/>
      <c r="G30" s="46"/>
      <c r="H30" s="46"/>
      <c r="I30" s="46"/>
    </row>
    <row r="31" spans="1:11" ht="12.75" customHeight="1">
      <c r="A31" s="46" t="s">
        <v>23</v>
      </c>
      <c r="B31" s="46"/>
      <c r="C31" s="46"/>
      <c r="D31" s="46"/>
      <c r="E31" s="46"/>
      <c r="F31" s="46"/>
      <c r="G31" s="46"/>
      <c r="H31" s="46"/>
      <c r="I31" s="46"/>
    </row>
    <row r="32" spans="1:11" ht="24.75" customHeight="1">
      <c r="A32" s="47" t="s">
        <v>24</v>
      </c>
      <c r="B32" s="47"/>
      <c r="C32" s="47"/>
      <c r="D32" s="47"/>
      <c r="E32" s="47"/>
      <c r="F32" s="47"/>
      <c r="G32" s="47"/>
      <c r="H32" s="47"/>
      <c r="I32" s="47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zoomScaleNormal="100" workbookViewId="0">
      <selection activeCell="A18" sqref="A18"/>
    </sheetView>
  </sheetViews>
  <sheetFormatPr defaultColWidth="9.140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1024" width="9.140625" style="1"/>
  </cols>
  <sheetData>
    <row r="1" spans="1:9" ht="15.75">
      <c r="A1" s="50" t="s">
        <v>0</v>
      </c>
      <c r="B1" s="50"/>
      <c r="C1" s="50"/>
      <c r="D1" s="50"/>
      <c r="E1" s="50"/>
      <c r="F1" s="50"/>
      <c r="G1" s="50"/>
      <c r="H1" s="50"/>
      <c r="I1" s="50"/>
    </row>
    <row r="2" spans="1:9" ht="25.5">
      <c r="A2" s="51" t="s">
        <v>30</v>
      </c>
      <c r="B2" s="2" t="s">
        <v>1</v>
      </c>
      <c r="C2" s="2" t="s">
        <v>2</v>
      </c>
      <c r="D2" s="2" t="s">
        <v>3</v>
      </c>
      <c r="E2" s="3" t="s">
        <v>4</v>
      </c>
      <c r="F2" s="3" t="s">
        <v>5</v>
      </c>
      <c r="G2" s="2" t="s">
        <v>6</v>
      </c>
      <c r="H2" s="4" t="s">
        <v>7</v>
      </c>
      <c r="I2" s="5" t="s">
        <v>8</v>
      </c>
    </row>
    <row r="3" spans="1:9" ht="12.75" customHeight="1">
      <c r="A3" s="51"/>
      <c r="B3" s="52" t="s">
        <v>26</v>
      </c>
      <c r="C3" s="53" t="s">
        <v>25</v>
      </c>
      <c r="D3" s="54">
        <v>10</v>
      </c>
      <c r="E3" s="55">
        <f>IF(C20&lt;=25%,D20,MIN(E20:F20))</f>
        <v>757.25</v>
      </c>
      <c r="F3" s="55">
        <f>MIN(H3:H17)</f>
        <v>697.5</v>
      </c>
      <c r="G3" s="6" t="s">
        <v>27</v>
      </c>
      <c r="H3" s="7">
        <v>697.5</v>
      </c>
      <c r="I3" s="8">
        <f t="shared" ref="I3:I17" si="0">IF(H3="","",(IF($C$20&lt;25%,"N/A",IF(H3&lt;=($D$20+$A$20),H3,"Descartado"))))</f>
        <v>697.5</v>
      </c>
    </row>
    <row r="4" spans="1:9">
      <c r="A4" s="51"/>
      <c r="B4" s="52"/>
      <c r="C4" s="53"/>
      <c r="D4" s="54"/>
      <c r="E4" s="55"/>
      <c r="F4" s="55"/>
      <c r="G4" s="6" t="s">
        <v>28</v>
      </c>
      <c r="H4" s="7">
        <v>817</v>
      </c>
      <c r="I4" s="8">
        <f t="shared" si="0"/>
        <v>817</v>
      </c>
    </row>
    <row r="5" spans="1:9">
      <c r="A5" s="51"/>
      <c r="B5" s="52"/>
      <c r="C5" s="53"/>
      <c r="D5" s="54"/>
      <c r="E5" s="55"/>
      <c r="F5" s="55"/>
      <c r="G5" s="6" t="s">
        <v>29</v>
      </c>
      <c r="H5" s="7">
        <v>1125</v>
      </c>
      <c r="I5" s="8" t="str">
        <f t="shared" si="0"/>
        <v>Descartado</v>
      </c>
    </row>
    <row r="6" spans="1:9">
      <c r="A6" s="51"/>
      <c r="B6" s="52"/>
      <c r="C6" s="53"/>
      <c r="D6" s="54"/>
      <c r="E6" s="55"/>
      <c r="F6" s="55"/>
      <c r="G6" s="6"/>
      <c r="H6" s="7"/>
      <c r="I6" s="8" t="str">
        <f t="shared" si="0"/>
        <v/>
      </c>
    </row>
    <row r="7" spans="1:9">
      <c r="A7" s="51"/>
      <c r="B7" s="52"/>
      <c r="C7" s="53"/>
      <c r="D7" s="54"/>
      <c r="E7" s="55"/>
      <c r="F7" s="55"/>
      <c r="G7" s="6"/>
      <c r="H7" s="7"/>
      <c r="I7" s="8" t="str">
        <f t="shared" si="0"/>
        <v/>
      </c>
    </row>
    <row r="8" spans="1:9">
      <c r="A8" s="51"/>
      <c r="B8" s="52"/>
      <c r="C8" s="53"/>
      <c r="D8" s="54"/>
      <c r="E8" s="55"/>
      <c r="F8" s="55"/>
      <c r="G8" s="6"/>
      <c r="H8" s="7"/>
      <c r="I8" s="8" t="str">
        <f t="shared" si="0"/>
        <v/>
      </c>
    </row>
    <row r="9" spans="1:9">
      <c r="A9" s="51"/>
      <c r="B9" s="52"/>
      <c r="C9" s="53"/>
      <c r="D9" s="54"/>
      <c r="E9" s="55"/>
      <c r="F9" s="55"/>
      <c r="G9" s="6"/>
      <c r="H9" s="7"/>
      <c r="I9" s="8" t="str">
        <f t="shared" si="0"/>
        <v/>
      </c>
    </row>
    <row r="10" spans="1:9">
      <c r="A10" s="51"/>
      <c r="B10" s="52"/>
      <c r="C10" s="53"/>
      <c r="D10" s="54"/>
      <c r="E10" s="55"/>
      <c r="F10" s="55"/>
      <c r="G10" s="6"/>
      <c r="H10" s="7"/>
      <c r="I10" s="8" t="str">
        <f t="shared" si="0"/>
        <v/>
      </c>
    </row>
    <row r="11" spans="1:9">
      <c r="A11" s="51"/>
      <c r="B11" s="52"/>
      <c r="C11" s="53"/>
      <c r="D11" s="54"/>
      <c r="E11" s="55"/>
      <c r="F11" s="55"/>
      <c r="G11" s="6"/>
      <c r="H11" s="7"/>
      <c r="I11" s="8" t="str">
        <f t="shared" si="0"/>
        <v/>
      </c>
    </row>
    <row r="12" spans="1:9">
      <c r="A12" s="51"/>
      <c r="B12" s="52"/>
      <c r="C12" s="53"/>
      <c r="D12" s="54"/>
      <c r="E12" s="55"/>
      <c r="F12" s="55"/>
      <c r="G12" s="6"/>
      <c r="H12" s="7"/>
      <c r="I12" s="8" t="str">
        <f t="shared" si="0"/>
        <v/>
      </c>
    </row>
    <row r="13" spans="1:9">
      <c r="A13" s="51"/>
      <c r="B13" s="52"/>
      <c r="C13" s="53"/>
      <c r="D13" s="54"/>
      <c r="E13" s="55"/>
      <c r="F13" s="55"/>
      <c r="G13" s="6"/>
      <c r="H13" s="7"/>
      <c r="I13" s="8" t="str">
        <f t="shared" si="0"/>
        <v/>
      </c>
    </row>
    <row r="14" spans="1:9">
      <c r="A14" s="51"/>
      <c r="B14" s="52"/>
      <c r="C14" s="53"/>
      <c r="D14" s="54"/>
      <c r="E14" s="55"/>
      <c r="F14" s="55"/>
      <c r="G14" s="6"/>
      <c r="H14" s="7"/>
      <c r="I14" s="8" t="str">
        <f t="shared" si="0"/>
        <v/>
      </c>
    </row>
    <row r="15" spans="1:9">
      <c r="A15" s="51"/>
      <c r="B15" s="52"/>
      <c r="C15" s="53"/>
      <c r="D15" s="54"/>
      <c r="E15" s="55"/>
      <c r="F15" s="55"/>
      <c r="G15" s="6"/>
      <c r="H15" s="7"/>
      <c r="I15" s="8" t="str">
        <f t="shared" si="0"/>
        <v/>
      </c>
    </row>
    <row r="16" spans="1:9">
      <c r="A16" s="51"/>
      <c r="B16" s="52"/>
      <c r="C16" s="53"/>
      <c r="D16" s="54"/>
      <c r="E16" s="55"/>
      <c r="F16" s="55"/>
      <c r="G16" s="6"/>
      <c r="H16" s="7"/>
      <c r="I16" s="8" t="str">
        <f t="shared" si="0"/>
        <v/>
      </c>
    </row>
    <row r="17" spans="1:11">
      <c r="A17" s="51"/>
      <c r="B17" s="52"/>
      <c r="C17" s="53"/>
      <c r="D17" s="54"/>
      <c r="E17" s="55"/>
      <c r="F17" s="55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9</v>
      </c>
      <c r="B19" s="5" t="s">
        <v>10</v>
      </c>
      <c r="C19" s="4" t="s">
        <v>11</v>
      </c>
      <c r="D19" s="16" t="s">
        <v>12</v>
      </c>
      <c r="E19" s="17" t="s">
        <v>13</v>
      </c>
      <c r="F19" s="16" t="s">
        <v>14</v>
      </c>
      <c r="G19" s="48" t="s">
        <v>15</v>
      </c>
      <c r="H19" s="48"/>
      <c r="I19" s="18"/>
    </row>
    <row r="20" spans="1:11">
      <c r="A20" s="19">
        <f>IF(B20&lt;2,"N/A",(STDEV(H3:H17)))</f>
        <v>220.56763890773564</v>
      </c>
      <c r="B20" s="19">
        <f>COUNT(H3:H17)</f>
        <v>3</v>
      </c>
      <c r="C20" s="20">
        <f>IF(B20&lt;2,"N/A",(A20/D20))</f>
        <v>0.25069347363437894</v>
      </c>
      <c r="D20" s="21">
        <f>ROUND(AVERAGE(H3:H17),2)</f>
        <v>879.83</v>
      </c>
      <c r="E20" s="22">
        <f>IFERROR(ROUND(IF(B20&lt;2,"N/A",(IF(C20&lt;=25%,"N/A",AVERAGE(I3:I17)))),2),"N/A")</f>
        <v>757.25</v>
      </c>
      <c r="F20" s="22">
        <f>ROUND(MEDIAN(H3:H17),2)</f>
        <v>817</v>
      </c>
      <c r="G20" s="23" t="str">
        <f>INDEX(G3:G17,MATCH(H20,H3:H17,0))</f>
        <v>NÃO ALTERE AS FÓRMULAS LTDA</v>
      </c>
      <c r="H20" s="24">
        <f>MIN(H3:H17)</f>
        <v>697.5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49"/>
      <c r="E22" s="49"/>
      <c r="F22" s="30"/>
      <c r="G22" s="31" t="s">
        <v>16</v>
      </c>
      <c r="H22" s="32">
        <f>IF(C20&lt;=25%,D20,MIN(E20:F20))</f>
        <v>757.25</v>
      </c>
    </row>
    <row r="23" spans="1:11">
      <c r="B23" s="25"/>
      <c r="C23" s="25"/>
      <c r="D23" s="49"/>
      <c r="E23" s="49"/>
      <c r="F23" s="33"/>
      <c r="G23" s="4" t="s">
        <v>17</v>
      </c>
      <c r="H23" s="24">
        <f>ROUND(H22,2)*D3</f>
        <v>7572.5</v>
      </c>
    </row>
    <row r="24" spans="1:11">
      <c r="B24" s="29"/>
      <c r="C24" s="29"/>
      <c r="D24" s="18"/>
      <c r="E24" s="18"/>
    </row>
    <row r="26" spans="1:11" ht="12.75" customHeight="1">
      <c r="A26" s="46" t="s">
        <v>18</v>
      </c>
      <c r="B26" s="46"/>
      <c r="C26" s="46"/>
      <c r="D26" s="46"/>
      <c r="E26" s="46"/>
      <c r="F26" s="46"/>
      <c r="G26" s="46"/>
      <c r="H26" s="46"/>
      <c r="I26" s="46"/>
    </row>
    <row r="27" spans="1:11" ht="12.75" customHeight="1">
      <c r="A27" s="46" t="s">
        <v>19</v>
      </c>
      <c r="B27" s="46"/>
      <c r="C27" s="46"/>
      <c r="D27" s="46"/>
      <c r="E27" s="46"/>
      <c r="F27" s="46"/>
      <c r="G27" s="46"/>
      <c r="H27" s="46"/>
      <c r="I27" s="46"/>
    </row>
    <row r="28" spans="1:11" ht="12.75" customHeight="1">
      <c r="A28" s="46" t="s">
        <v>20</v>
      </c>
      <c r="B28" s="46"/>
      <c r="C28" s="46"/>
      <c r="D28" s="46"/>
      <c r="E28" s="46"/>
      <c r="F28" s="46"/>
      <c r="G28" s="46"/>
      <c r="H28" s="46"/>
      <c r="I28" s="46"/>
    </row>
    <row r="29" spans="1:11" ht="12.75" customHeight="1">
      <c r="A29" s="46" t="s">
        <v>21</v>
      </c>
      <c r="B29" s="46"/>
      <c r="C29" s="46"/>
      <c r="D29" s="46"/>
      <c r="E29" s="46"/>
      <c r="F29" s="46"/>
      <c r="G29" s="46"/>
      <c r="H29" s="46"/>
      <c r="I29" s="46"/>
    </row>
    <row r="30" spans="1:11" ht="12.75" customHeight="1">
      <c r="A30" s="46" t="s">
        <v>22</v>
      </c>
      <c r="B30" s="46"/>
      <c r="C30" s="46"/>
      <c r="D30" s="46"/>
      <c r="E30" s="46"/>
      <c r="F30" s="46"/>
      <c r="G30" s="46"/>
      <c r="H30" s="46"/>
      <c r="I30" s="46"/>
    </row>
    <row r="31" spans="1:11" ht="12.75" customHeight="1">
      <c r="A31" s="46" t="s">
        <v>23</v>
      </c>
      <c r="B31" s="46"/>
      <c r="C31" s="46"/>
      <c r="D31" s="46"/>
      <c r="E31" s="46"/>
      <c r="F31" s="46"/>
      <c r="G31" s="46"/>
      <c r="H31" s="46"/>
      <c r="I31" s="46"/>
    </row>
    <row r="32" spans="1:11" ht="24.75" customHeight="1">
      <c r="A32" s="47" t="s">
        <v>24</v>
      </c>
      <c r="B32" s="47"/>
      <c r="C32" s="47"/>
      <c r="D32" s="47"/>
      <c r="E32" s="47"/>
      <c r="F32" s="47"/>
      <c r="G32" s="47"/>
      <c r="H32" s="47"/>
      <c r="I32" s="47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zoomScaleNormal="100" workbookViewId="0">
      <selection activeCell="A18" sqref="A18"/>
    </sheetView>
  </sheetViews>
  <sheetFormatPr defaultColWidth="9.140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1024" width="9.140625" style="1"/>
  </cols>
  <sheetData>
    <row r="1" spans="1:9" ht="15.75">
      <c r="A1" s="50" t="s">
        <v>0</v>
      </c>
      <c r="B1" s="50"/>
      <c r="C1" s="50"/>
      <c r="D1" s="50"/>
      <c r="E1" s="50"/>
      <c r="F1" s="50"/>
      <c r="G1" s="50"/>
      <c r="H1" s="50"/>
      <c r="I1" s="50"/>
    </row>
    <row r="2" spans="1:9" ht="25.5">
      <c r="A2" s="51" t="s">
        <v>31</v>
      </c>
      <c r="B2" s="2" t="s">
        <v>1</v>
      </c>
      <c r="C2" s="2" t="s">
        <v>2</v>
      </c>
      <c r="D2" s="2" t="s">
        <v>3</v>
      </c>
      <c r="E2" s="3" t="s">
        <v>4</v>
      </c>
      <c r="F2" s="3" t="s">
        <v>5</v>
      </c>
      <c r="G2" s="2" t="s">
        <v>6</v>
      </c>
      <c r="H2" s="4" t="s">
        <v>7</v>
      </c>
      <c r="I2" s="5" t="s">
        <v>8</v>
      </c>
    </row>
    <row r="3" spans="1:9" ht="12.75" customHeight="1">
      <c r="A3" s="51"/>
      <c r="B3" s="52" t="s">
        <v>26</v>
      </c>
      <c r="C3" s="53" t="s">
        <v>25</v>
      </c>
      <c r="D3" s="54">
        <v>10</v>
      </c>
      <c r="E3" s="55">
        <f>IF(C20&lt;=25%,D20,MIN(E20:F20))</f>
        <v>757.25</v>
      </c>
      <c r="F3" s="55">
        <f>MIN(H3:H17)</f>
        <v>697.5</v>
      </c>
      <c r="G3" s="6" t="s">
        <v>27</v>
      </c>
      <c r="H3" s="7">
        <v>697.5</v>
      </c>
      <c r="I3" s="8">
        <f t="shared" ref="I3:I17" si="0">IF(H3="","",(IF($C$20&lt;25%,"N/A",IF(H3&lt;=($D$20+$A$20),H3,"Descartado"))))</f>
        <v>697.5</v>
      </c>
    </row>
    <row r="4" spans="1:9">
      <c r="A4" s="51"/>
      <c r="B4" s="52"/>
      <c r="C4" s="53"/>
      <c r="D4" s="54"/>
      <c r="E4" s="55"/>
      <c r="F4" s="55"/>
      <c r="G4" s="6" t="s">
        <v>28</v>
      </c>
      <c r="H4" s="7">
        <v>817</v>
      </c>
      <c r="I4" s="8">
        <f t="shared" si="0"/>
        <v>817</v>
      </c>
    </row>
    <row r="5" spans="1:9">
      <c r="A5" s="51"/>
      <c r="B5" s="52"/>
      <c r="C5" s="53"/>
      <c r="D5" s="54"/>
      <c r="E5" s="55"/>
      <c r="F5" s="55"/>
      <c r="G5" s="6" t="s">
        <v>29</v>
      </c>
      <c r="H5" s="7">
        <v>1125</v>
      </c>
      <c r="I5" s="8" t="str">
        <f t="shared" si="0"/>
        <v>Descartado</v>
      </c>
    </row>
    <row r="6" spans="1:9">
      <c r="A6" s="51"/>
      <c r="B6" s="52"/>
      <c r="C6" s="53"/>
      <c r="D6" s="54"/>
      <c r="E6" s="55"/>
      <c r="F6" s="55"/>
      <c r="G6" s="6"/>
      <c r="H6" s="7"/>
      <c r="I6" s="8" t="str">
        <f t="shared" si="0"/>
        <v/>
      </c>
    </row>
    <row r="7" spans="1:9">
      <c r="A7" s="51"/>
      <c r="B7" s="52"/>
      <c r="C7" s="53"/>
      <c r="D7" s="54"/>
      <c r="E7" s="55"/>
      <c r="F7" s="55"/>
      <c r="G7" s="6"/>
      <c r="H7" s="7"/>
      <c r="I7" s="8" t="str">
        <f t="shared" si="0"/>
        <v/>
      </c>
    </row>
    <row r="8" spans="1:9">
      <c r="A8" s="51"/>
      <c r="B8" s="52"/>
      <c r="C8" s="53"/>
      <c r="D8" s="54"/>
      <c r="E8" s="55"/>
      <c r="F8" s="55"/>
      <c r="G8" s="6"/>
      <c r="H8" s="7"/>
      <c r="I8" s="8" t="str">
        <f t="shared" si="0"/>
        <v/>
      </c>
    </row>
    <row r="9" spans="1:9">
      <c r="A9" s="51"/>
      <c r="B9" s="52"/>
      <c r="C9" s="53"/>
      <c r="D9" s="54"/>
      <c r="E9" s="55"/>
      <c r="F9" s="55"/>
      <c r="G9" s="6"/>
      <c r="H9" s="7"/>
      <c r="I9" s="8" t="str">
        <f t="shared" si="0"/>
        <v/>
      </c>
    </row>
    <row r="10" spans="1:9">
      <c r="A10" s="51"/>
      <c r="B10" s="52"/>
      <c r="C10" s="53"/>
      <c r="D10" s="54"/>
      <c r="E10" s="55"/>
      <c r="F10" s="55"/>
      <c r="G10" s="6"/>
      <c r="H10" s="7"/>
      <c r="I10" s="8" t="str">
        <f t="shared" si="0"/>
        <v/>
      </c>
    </row>
    <row r="11" spans="1:9">
      <c r="A11" s="51"/>
      <c r="B11" s="52"/>
      <c r="C11" s="53"/>
      <c r="D11" s="54"/>
      <c r="E11" s="55"/>
      <c r="F11" s="55"/>
      <c r="G11" s="6"/>
      <c r="H11" s="7"/>
      <c r="I11" s="8" t="str">
        <f t="shared" si="0"/>
        <v/>
      </c>
    </row>
    <row r="12" spans="1:9">
      <c r="A12" s="51"/>
      <c r="B12" s="52"/>
      <c r="C12" s="53"/>
      <c r="D12" s="54"/>
      <c r="E12" s="55"/>
      <c r="F12" s="55"/>
      <c r="G12" s="6"/>
      <c r="H12" s="7"/>
      <c r="I12" s="8" t="str">
        <f t="shared" si="0"/>
        <v/>
      </c>
    </row>
    <row r="13" spans="1:9">
      <c r="A13" s="51"/>
      <c r="B13" s="52"/>
      <c r="C13" s="53"/>
      <c r="D13" s="54"/>
      <c r="E13" s="55"/>
      <c r="F13" s="55"/>
      <c r="G13" s="6"/>
      <c r="H13" s="7"/>
      <c r="I13" s="8" t="str">
        <f t="shared" si="0"/>
        <v/>
      </c>
    </row>
    <row r="14" spans="1:9">
      <c r="A14" s="51"/>
      <c r="B14" s="52"/>
      <c r="C14" s="53"/>
      <c r="D14" s="54"/>
      <c r="E14" s="55"/>
      <c r="F14" s="55"/>
      <c r="G14" s="6"/>
      <c r="H14" s="7"/>
      <c r="I14" s="8" t="str">
        <f t="shared" si="0"/>
        <v/>
      </c>
    </row>
    <row r="15" spans="1:9">
      <c r="A15" s="51"/>
      <c r="B15" s="52"/>
      <c r="C15" s="53"/>
      <c r="D15" s="54"/>
      <c r="E15" s="55"/>
      <c r="F15" s="55"/>
      <c r="G15" s="6"/>
      <c r="H15" s="7"/>
      <c r="I15" s="8" t="str">
        <f t="shared" si="0"/>
        <v/>
      </c>
    </row>
    <row r="16" spans="1:9">
      <c r="A16" s="51"/>
      <c r="B16" s="52"/>
      <c r="C16" s="53"/>
      <c r="D16" s="54"/>
      <c r="E16" s="55"/>
      <c r="F16" s="55"/>
      <c r="G16" s="6"/>
      <c r="H16" s="7"/>
      <c r="I16" s="8" t="str">
        <f t="shared" si="0"/>
        <v/>
      </c>
    </row>
    <row r="17" spans="1:11">
      <c r="A17" s="51"/>
      <c r="B17" s="52"/>
      <c r="C17" s="53"/>
      <c r="D17" s="54"/>
      <c r="E17" s="55"/>
      <c r="F17" s="55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9</v>
      </c>
      <c r="B19" s="5" t="s">
        <v>10</v>
      </c>
      <c r="C19" s="4" t="s">
        <v>11</v>
      </c>
      <c r="D19" s="16" t="s">
        <v>12</v>
      </c>
      <c r="E19" s="17" t="s">
        <v>13</v>
      </c>
      <c r="F19" s="16" t="s">
        <v>14</v>
      </c>
      <c r="G19" s="48" t="s">
        <v>15</v>
      </c>
      <c r="H19" s="48"/>
      <c r="I19" s="18"/>
    </row>
    <row r="20" spans="1:11">
      <c r="A20" s="19">
        <f>IF(B20&lt;2,"N/A",(STDEV(H3:H17)))</f>
        <v>220.56763890773564</v>
      </c>
      <c r="B20" s="19">
        <f>COUNT(H3:H17)</f>
        <v>3</v>
      </c>
      <c r="C20" s="20">
        <f>IF(B20&lt;2,"N/A",(A20/D20))</f>
        <v>0.25069347363437894</v>
      </c>
      <c r="D20" s="21">
        <f>ROUND(AVERAGE(H3:H17),2)</f>
        <v>879.83</v>
      </c>
      <c r="E20" s="22">
        <f>IFERROR(ROUND(IF(B20&lt;2,"N/A",(IF(C20&lt;=25%,"N/A",AVERAGE(I3:I17)))),2),"N/A")</f>
        <v>757.25</v>
      </c>
      <c r="F20" s="22">
        <f>ROUND(MEDIAN(H3:H17),2)</f>
        <v>817</v>
      </c>
      <c r="G20" s="23" t="str">
        <f>INDEX(G3:G17,MATCH(H20,H3:H17,0))</f>
        <v>NÃO ALTERE AS FÓRMULAS LTDA</v>
      </c>
      <c r="H20" s="24">
        <f>MIN(H3:H17)</f>
        <v>697.5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49"/>
      <c r="E22" s="49"/>
      <c r="F22" s="30"/>
      <c r="G22" s="31" t="s">
        <v>16</v>
      </c>
      <c r="H22" s="32">
        <f>IF(C20&lt;=25%,D20,MIN(E20:F20))</f>
        <v>757.25</v>
      </c>
    </row>
    <row r="23" spans="1:11">
      <c r="B23" s="25"/>
      <c r="C23" s="25"/>
      <c r="D23" s="49"/>
      <c r="E23" s="49"/>
      <c r="F23" s="33"/>
      <c r="G23" s="4" t="s">
        <v>17</v>
      </c>
      <c r="H23" s="24">
        <f>ROUND(H22,2)*D3</f>
        <v>7572.5</v>
      </c>
    </row>
    <row r="24" spans="1:11">
      <c r="B24" s="29"/>
      <c r="C24" s="29"/>
      <c r="D24" s="18"/>
      <c r="E24" s="18"/>
    </row>
    <row r="26" spans="1:11" ht="12.75" customHeight="1">
      <c r="A26" s="46" t="s">
        <v>18</v>
      </c>
      <c r="B26" s="46"/>
      <c r="C26" s="46"/>
      <c r="D26" s="46"/>
      <c r="E26" s="46"/>
      <c r="F26" s="46"/>
      <c r="G26" s="46"/>
      <c r="H26" s="46"/>
      <c r="I26" s="46"/>
    </row>
    <row r="27" spans="1:11" ht="12.75" customHeight="1">
      <c r="A27" s="46" t="s">
        <v>19</v>
      </c>
      <c r="B27" s="46"/>
      <c r="C27" s="46"/>
      <c r="D27" s="46"/>
      <c r="E27" s="46"/>
      <c r="F27" s="46"/>
      <c r="G27" s="46"/>
      <c r="H27" s="46"/>
      <c r="I27" s="46"/>
    </row>
    <row r="28" spans="1:11" ht="12.75" customHeight="1">
      <c r="A28" s="46" t="s">
        <v>20</v>
      </c>
      <c r="B28" s="46"/>
      <c r="C28" s="46"/>
      <c r="D28" s="46"/>
      <c r="E28" s="46"/>
      <c r="F28" s="46"/>
      <c r="G28" s="46"/>
      <c r="H28" s="46"/>
      <c r="I28" s="46"/>
    </row>
    <row r="29" spans="1:11" ht="12.75" customHeight="1">
      <c r="A29" s="46" t="s">
        <v>21</v>
      </c>
      <c r="B29" s="46"/>
      <c r="C29" s="46"/>
      <c r="D29" s="46"/>
      <c r="E29" s="46"/>
      <c r="F29" s="46"/>
      <c r="G29" s="46"/>
      <c r="H29" s="46"/>
      <c r="I29" s="46"/>
    </row>
    <row r="30" spans="1:11" ht="12.75" customHeight="1">
      <c r="A30" s="46" t="s">
        <v>22</v>
      </c>
      <c r="B30" s="46"/>
      <c r="C30" s="46"/>
      <c r="D30" s="46"/>
      <c r="E30" s="46"/>
      <c r="F30" s="46"/>
      <c r="G30" s="46"/>
      <c r="H30" s="46"/>
      <c r="I30" s="46"/>
    </row>
    <row r="31" spans="1:11" ht="12.75" customHeight="1">
      <c r="A31" s="46" t="s">
        <v>23</v>
      </c>
      <c r="B31" s="46"/>
      <c r="C31" s="46"/>
      <c r="D31" s="46"/>
      <c r="E31" s="46"/>
      <c r="F31" s="46"/>
      <c r="G31" s="46"/>
      <c r="H31" s="46"/>
      <c r="I31" s="46"/>
    </row>
    <row r="32" spans="1:11" ht="24.75" customHeight="1">
      <c r="A32" s="47" t="s">
        <v>24</v>
      </c>
      <c r="B32" s="47"/>
      <c r="C32" s="47"/>
      <c r="D32" s="47"/>
      <c r="E32" s="47"/>
      <c r="F32" s="47"/>
      <c r="G32" s="47"/>
      <c r="H32" s="47"/>
      <c r="I32" s="47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zoomScaleNormal="100" workbookViewId="0">
      <selection activeCell="A18" sqref="A18"/>
    </sheetView>
  </sheetViews>
  <sheetFormatPr defaultColWidth="9.140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1024" width="9.140625" style="1"/>
  </cols>
  <sheetData>
    <row r="1" spans="1:9" ht="15.75">
      <c r="A1" s="50" t="s">
        <v>0</v>
      </c>
      <c r="B1" s="50"/>
      <c r="C1" s="50"/>
      <c r="D1" s="50"/>
      <c r="E1" s="50"/>
      <c r="F1" s="50"/>
      <c r="G1" s="50"/>
      <c r="H1" s="50"/>
      <c r="I1" s="50"/>
    </row>
    <row r="2" spans="1:9" ht="25.5">
      <c r="A2" s="51" t="s">
        <v>32</v>
      </c>
      <c r="B2" s="2" t="s">
        <v>1</v>
      </c>
      <c r="C2" s="2" t="s">
        <v>2</v>
      </c>
      <c r="D2" s="2" t="s">
        <v>3</v>
      </c>
      <c r="E2" s="3" t="s">
        <v>4</v>
      </c>
      <c r="F2" s="3" t="s">
        <v>5</v>
      </c>
      <c r="G2" s="2" t="s">
        <v>6</v>
      </c>
      <c r="H2" s="4" t="s">
        <v>7</v>
      </c>
      <c r="I2" s="5" t="s">
        <v>8</v>
      </c>
    </row>
    <row r="3" spans="1:9" ht="12.75" customHeight="1">
      <c r="A3" s="51"/>
      <c r="B3" s="52" t="s">
        <v>26</v>
      </c>
      <c r="C3" s="53" t="s">
        <v>25</v>
      </c>
      <c r="D3" s="54">
        <v>10</v>
      </c>
      <c r="E3" s="55">
        <f>IF(C20&lt;=25%,D20,MIN(E20:F20))</f>
        <v>757.25</v>
      </c>
      <c r="F3" s="55">
        <f>MIN(H3:H17)</f>
        <v>697.5</v>
      </c>
      <c r="G3" s="6" t="s">
        <v>27</v>
      </c>
      <c r="H3" s="7">
        <v>697.5</v>
      </c>
      <c r="I3" s="8">
        <f t="shared" ref="I3:I17" si="0">IF(H3="","",(IF($C$20&lt;25%,"N/A",IF(H3&lt;=($D$20+$A$20),H3,"Descartado"))))</f>
        <v>697.5</v>
      </c>
    </row>
    <row r="4" spans="1:9">
      <c r="A4" s="51"/>
      <c r="B4" s="52"/>
      <c r="C4" s="53"/>
      <c r="D4" s="54"/>
      <c r="E4" s="55"/>
      <c r="F4" s="55"/>
      <c r="G4" s="6" t="s">
        <v>28</v>
      </c>
      <c r="H4" s="7">
        <v>817</v>
      </c>
      <c r="I4" s="8">
        <f t="shared" si="0"/>
        <v>817</v>
      </c>
    </row>
    <row r="5" spans="1:9">
      <c r="A5" s="51"/>
      <c r="B5" s="52"/>
      <c r="C5" s="53"/>
      <c r="D5" s="54"/>
      <c r="E5" s="55"/>
      <c r="F5" s="55"/>
      <c r="G5" s="6" t="s">
        <v>29</v>
      </c>
      <c r="H5" s="7">
        <v>1125</v>
      </c>
      <c r="I5" s="8" t="str">
        <f t="shared" si="0"/>
        <v>Descartado</v>
      </c>
    </row>
    <row r="6" spans="1:9">
      <c r="A6" s="51"/>
      <c r="B6" s="52"/>
      <c r="C6" s="53"/>
      <c r="D6" s="54"/>
      <c r="E6" s="55"/>
      <c r="F6" s="55"/>
      <c r="G6" s="6"/>
      <c r="H6" s="7"/>
      <c r="I6" s="8" t="str">
        <f t="shared" si="0"/>
        <v/>
      </c>
    </row>
    <row r="7" spans="1:9">
      <c r="A7" s="51"/>
      <c r="B7" s="52"/>
      <c r="C7" s="53"/>
      <c r="D7" s="54"/>
      <c r="E7" s="55"/>
      <c r="F7" s="55"/>
      <c r="G7" s="6"/>
      <c r="H7" s="7"/>
      <c r="I7" s="8" t="str">
        <f t="shared" si="0"/>
        <v/>
      </c>
    </row>
    <row r="8" spans="1:9">
      <c r="A8" s="51"/>
      <c r="B8" s="52"/>
      <c r="C8" s="53"/>
      <c r="D8" s="54"/>
      <c r="E8" s="55"/>
      <c r="F8" s="55"/>
      <c r="G8" s="6"/>
      <c r="H8" s="7"/>
      <c r="I8" s="8" t="str">
        <f t="shared" si="0"/>
        <v/>
      </c>
    </row>
    <row r="9" spans="1:9">
      <c r="A9" s="51"/>
      <c r="B9" s="52"/>
      <c r="C9" s="53"/>
      <c r="D9" s="54"/>
      <c r="E9" s="55"/>
      <c r="F9" s="55"/>
      <c r="G9" s="6"/>
      <c r="H9" s="7"/>
      <c r="I9" s="8" t="str">
        <f t="shared" si="0"/>
        <v/>
      </c>
    </row>
    <row r="10" spans="1:9">
      <c r="A10" s="51"/>
      <c r="B10" s="52"/>
      <c r="C10" s="53"/>
      <c r="D10" s="54"/>
      <c r="E10" s="55"/>
      <c r="F10" s="55"/>
      <c r="G10" s="6"/>
      <c r="H10" s="7"/>
      <c r="I10" s="8" t="str">
        <f t="shared" si="0"/>
        <v/>
      </c>
    </row>
    <row r="11" spans="1:9">
      <c r="A11" s="51"/>
      <c r="B11" s="52"/>
      <c r="C11" s="53"/>
      <c r="D11" s="54"/>
      <c r="E11" s="55"/>
      <c r="F11" s="55"/>
      <c r="G11" s="6"/>
      <c r="H11" s="7"/>
      <c r="I11" s="8" t="str">
        <f t="shared" si="0"/>
        <v/>
      </c>
    </row>
    <row r="12" spans="1:9">
      <c r="A12" s="51"/>
      <c r="B12" s="52"/>
      <c r="C12" s="53"/>
      <c r="D12" s="54"/>
      <c r="E12" s="55"/>
      <c r="F12" s="55"/>
      <c r="G12" s="6"/>
      <c r="H12" s="7"/>
      <c r="I12" s="8" t="str">
        <f t="shared" si="0"/>
        <v/>
      </c>
    </row>
    <row r="13" spans="1:9">
      <c r="A13" s="51"/>
      <c r="B13" s="52"/>
      <c r="C13" s="53"/>
      <c r="D13" s="54"/>
      <c r="E13" s="55"/>
      <c r="F13" s="55"/>
      <c r="G13" s="6"/>
      <c r="H13" s="7"/>
      <c r="I13" s="8" t="str">
        <f t="shared" si="0"/>
        <v/>
      </c>
    </row>
    <row r="14" spans="1:9">
      <c r="A14" s="51"/>
      <c r="B14" s="52"/>
      <c r="C14" s="53"/>
      <c r="D14" s="54"/>
      <c r="E14" s="55"/>
      <c r="F14" s="55"/>
      <c r="G14" s="6"/>
      <c r="H14" s="7"/>
      <c r="I14" s="8" t="str">
        <f t="shared" si="0"/>
        <v/>
      </c>
    </row>
    <row r="15" spans="1:9">
      <c r="A15" s="51"/>
      <c r="B15" s="52"/>
      <c r="C15" s="53"/>
      <c r="D15" s="54"/>
      <c r="E15" s="55"/>
      <c r="F15" s="55"/>
      <c r="G15" s="6"/>
      <c r="H15" s="7"/>
      <c r="I15" s="8" t="str">
        <f t="shared" si="0"/>
        <v/>
      </c>
    </row>
    <row r="16" spans="1:9">
      <c r="A16" s="51"/>
      <c r="B16" s="52"/>
      <c r="C16" s="53"/>
      <c r="D16" s="54"/>
      <c r="E16" s="55"/>
      <c r="F16" s="55"/>
      <c r="G16" s="6"/>
      <c r="H16" s="7"/>
      <c r="I16" s="8" t="str">
        <f t="shared" si="0"/>
        <v/>
      </c>
    </row>
    <row r="17" spans="1:11">
      <c r="A17" s="51"/>
      <c r="B17" s="52"/>
      <c r="C17" s="53"/>
      <c r="D17" s="54"/>
      <c r="E17" s="55"/>
      <c r="F17" s="55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9</v>
      </c>
      <c r="B19" s="5" t="s">
        <v>10</v>
      </c>
      <c r="C19" s="4" t="s">
        <v>11</v>
      </c>
      <c r="D19" s="16" t="s">
        <v>12</v>
      </c>
      <c r="E19" s="17" t="s">
        <v>13</v>
      </c>
      <c r="F19" s="16" t="s">
        <v>14</v>
      </c>
      <c r="G19" s="48" t="s">
        <v>15</v>
      </c>
      <c r="H19" s="48"/>
      <c r="I19" s="18"/>
    </row>
    <row r="20" spans="1:11">
      <c r="A20" s="19">
        <f>IF(B20&lt;2,"N/A",(STDEV(H3:H17)))</f>
        <v>220.56763890773564</v>
      </c>
      <c r="B20" s="19">
        <f>COUNT(H3:H17)</f>
        <v>3</v>
      </c>
      <c r="C20" s="20">
        <f>IF(B20&lt;2,"N/A",(A20/D20))</f>
        <v>0.25069347363437894</v>
      </c>
      <c r="D20" s="21">
        <f>ROUND(AVERAGE(H3:H17),2)</f>
        <v>879.83</v>
      </c>
      <c r="E20" s="22">
        <f>IFERROR(ROUND(IF(B20&lt;2,"N/A",(IF(C20&lt;=25%,"N/A",AVERAGE(I3:I17)))),2),"N/A")</f>
        <v>757.25</v>
      </c>
      <c r="F20" s="22">
        <f>ROUND(MEDIAN(H3:H17),2)</f>
        <v>817</v>
      </c>
      <c r="G20" s="23" t="str">
        <f>INDEX(G3:G17,MATCH(H20,H3:H17,0))</f>
        <v>NÃO ALTERE AS FÓRMULAS LTDA</v>
      </c>
      <c r="H20" s="24">
        <f>MIN(H3:H17)</f>
        <v>697.5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49"/>
      <c r="E22" s="49"/>
      <c r="F22" s="30"/>
      <c r="G22" s="31" t="s">
        <v>16</v>
      </c>
      <c r="H22" s="32">
        <f>IF(C20&lt;=25%,D20,MIN(E20:F20))</f>
        <v>757.25</v>
      </c>
    </row>
    <row r="23" spans="1:11">
      <c r="B23" s="25"/>
      <c r="C23" s="25"/>
      <c r="D23" s="49"/>
      <c r="E23" s="49"/>
      <c r="F23" s="33"/>
      <c r="G23" s="4" t="s">
        <v>17</v>
      </c>
      <c r="H23" s="24">
        <f>ROUND(H22,2)*D3</f>
        <v>7572.5</v>
      </c>
    </row>
    <row r="24" spans="1:11">
      <c r="B24" s="29"/>
      <c r="C24" s="29"/>
      <c r="D24" s="18"/>
      <c r="E24" s="18"/>
    </row>
    <row r="26" spans="1:11" ht="12.75" customHeight="1">
      <c r="A26" s="46" t="s">
        <v>18</v>
      </c>
      <c r="B26" s="46"/>
      <c r="C26" s="46"/>
      <c r="D26" s="46"/>
      <c r="E26" s="46"/>
      <c r="F26" s="46"/>
      <c r="G26" s="46"/>
      <c r="H26" s="46"/>
      <c r="I26" s="46"/>
    </row>
    <row r="27" spans="1:11" ht="12.75" customHeight="1">
      <c r="A27" s="46" t="s">
        <v>19</v>
      </c>
      <c r="B27" s="46"/>
      <c r="C27" s="46"/>
      <c r="D27" s="46"/>
      <c r="E27" s="46"/>
      <c r="F27" s="46"/>
      <c r="G27" s="46"/>
      <c r="H27" s="46"/>
      <c r="I27" s="46"/>
    </row>
    <row r="28" spans="1:11" ht="12.75" customHeight="1">
      <c r="A28" s="46" t="s">
        <v>20</v>
      </c>
      <c r="B28" s="46"/>
      <c r="C28" s="46"/>
      <c r="D28" s="46"/>
      <c r="E28" s="46"/>
      <c r="F28" s="46"/>
      <c r="G28" s="46"/>
      <c r="H28" s="46"/>
      <c r="I28" s="46"/>
    </row>
    <row r="29" spans="1:11" ht="12.75" customHeight="1">
      <c r="A29" s="46" t="s">
        <v>21</v>
      </c>
      <c r="B29" s="46"/>
      <c r="C29" s="46"/>
      <c r="D29" s="46"/>
      <c r="E29" s="46"/>
      <c r="F29" s="46"/>
      <c r="G29" s="46"/>
      <c r="H29" s="46"/>
      <c r="I29" s="46"/>
    </row>
    <row r="30" spans="1:11" ht="12.75" customHeight="1">
      <c r="A30" s="46" t="s">
        <v>22</v>
      </c>
      <c r="B30" s="46"/>
      <c r="C30" s="46"/>
      <c r="D30" s="46"/>
      <c r="E30" s="46"/>
      <c r="F30" s="46"/>
      <c r="G30" s="46"/>
      <c r="H30" s="46"/>
      <c r="I30" s="46"/>
    </row>
    <row r="31" spans="1:11" ht="12.75" customHeight="1">
      <c r="A31" s="46" t="s">
        <v>23</v>
      </c>
      <c r="B31" s="46"/>
      <c r="C31" s="46"/>
      <c r="D31" s="46"/>
      <c r="E31" s="46"/>
      <c r="F31" s="46"/>
      <c r="G31" s="46"/>
      <c r="H31" s="46"/>
      <c r="I31" s="46"/>
    </row>
    <row r="32" spans="1:11" ht="24.75" customHeight="1">
      <c r="A32" s="47" t="s">
        <v>24</v>
      </c>
      <c r="B32" s="47"/>
      <c r="C32" s="47"/>
      <c r="D32" s="47"/>
      <c r="E32" s="47"/>
      <c r="F32" s="47"/>
      <c r="G32" s="47"/>
      <c r="H32" s="47"/>
      <c r="I32" s="47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zoomScaleNormal="100" workbookViewId="0">
      <selection activeCell="J2" sqref="J2"/>
    </sheetView>
  </sheetViews>
  <sheetFormatPr defaultColWidth="9.140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1024" width="9.140625" style="1"/>
  </cols>
  <sheetData>
    <row r="1" spans="1:9" ht="15.75">
      <c r="A1" s="50" t="s">
        <v>0</v>
      </c>
      <c r="B1" s="50"/>
      <c r="C1" s="50"/>
      <c r="D1" s="50"/>
      <c r="E1" s="50"/>
      <c r="F1" s="50"/>
      <c r="G1" s="50"/>
      <c r="H1" s="50"/>
      <c r="I1" s="50"/>
    </row>
    <row r="2" spans="1:9" ht="25.5">
      <c r="A2" s="51" t="s">
        <v>33</v>
      </c>
      <c r="B2" s="2" t="s">
        <v>1</v>
      </c>
      <c r="C2" s="2" t="s">
        <v>2</v>
      </c>
      <c r="D2" s="2" t="s">
        <v>3</v>
      </c>
      <c r="E2" s="3" t="s">
        <v>4</v>
      </c>
      <c r="F2" s="3" t="s">
        <v>5</v>
      </c>
      <c r="G2" s="2" t="s">
        <v>6</v>
      </c>
      <c r="H2" s="4" t="s">
        <v>7</v>
      </c>
      <c r="I2" s="5" t="s">
        <v>8</v>
      </c>
    </row>
    <row r="3" spans="1:9" ht="12.75" customHeight="1">
      <c r="A3" s="51"/>
      <c r="B3" s="52" t="s">
        <v>26</v>
      </c>
      <c r="C3" s="53" t="s">
        <v>25</v>
      </c>
      <c r="D3" s="54">
        <v>10</v>
      </c>
      <c r="E3" s="55">
        <f>IF(C20&lt;=25%,D20,MIN(E20:F20))</f>
        <v>757.25</v>
      </c>
      <c r="F3" s="55">
        <f>MIN(H3:H17)</f>
        <v>697.5</v>
      </c>
      <c r="G3" s="6" t="s">
        <v>27</v>
      </c>
      <c r="H3" s="7">
        <v>697.5</v>
      </c>
      <c r="I3" s="8">
        <f t="shared" ref="I3:I17" si="0">IF(H3="","",(IF($C$20&lt;25%,"N/A",IF(H3&lt;=($D$20+$A$20),H3,"Descartado"))))</f>
        <v>697.5</v>
      </c>
    </row>
    <row r="4" spans="1:9">
      <c r="A4" s="51"/>
      <c r="B4" s="52"/>
      <c r="C4" s="53"/>
      <c r="D4" s="54"/>
      <c r="E4" s="55"/>
      <c r="F4" s="55"/>
      <c r="G4" s="6" t="s">
        <v>28</v>
      </c>
      <c r="H4" s="7">
        <v>817</v>
      </c>
      <c r="I4" s="8">
        <f t="shared" si="0"/>
        <v>817</v>
      </c>
    </row>
    <row r="5" spans="1:9">
      <c r="A5" s="51"/>
      <c r="B5" s="52"/>
      <c r="C5" s="53"/>
      <c r="D5" s="54"/>
      <c r="E5" s="55"/>
      <c r="F5" s="55"/>
      <c r="G5" s="6" t="s">
        <v>29</v>
      </c>
      <c r="H5" s="7">
        <v>1125</v>
      </c>
      <c r="I5" s="8" t="str">
        <f t="shared" si="0"/>
        <v>Descartado</v>
      </c>
    </row>
    <row r="6" spans="1:9">
      <c r="A6" s="51"/>
      <c r="B6" s="52"/>
      <c r="C6" s="53"/>
      <c r="D6" s="54"/>
      <c r="E6" s="55"/>
      <c r="F6" s="55"/>
      <c r="G6" s="6"/>
      <c r="H6" s="7"/>
      <c r="I6" s="8" t="str">
        <f t="shared" si="0"/>
        <v/>
      </c>
    </row>
    <row r="7" spans="1:9">
      <c r="A7" s="51"/>
      <c r="B7" s="52"/>
      <c r="C7" s="53"/>
      <c r="D7" s="54"/>
      <c r="E7" s="55"/>
      <c r="F7" s="55"/>
      <c r="G7" s="6"/>
      <c r="H7" s="7"/>
      <c r="I7" s="8" t="str">
        <f t="shared" si="0"/>
        <v/>
      </c>
    </row>
    <row r="8" spans="1:9">
      <c r="A8" s="51"/>
      <c r="B8" s="52"/>
      <c r="C8" s="53"/>
      <c r="D8" s="54"/>
      <c r="E8" s="55"/>
      <c r="F8" s="55"/>
      <c r="G8" s="6"/>
      <c r="H8" s="7"/>
      <c r="I8" s="8" t="str">
        <f t="shared" si="0"/>
        <v/>
      </c>
    </row>
    <row r="9" spans="1:9">
      <c r="A9" s="51"/>
      <c r="B9" s="52"/>
      <c r="C9" s="53"/>
      <c r="D9" s="54"/>
      <c r="E9" s="55"/>
      <c r="F9" s="55"/>
      <c r="G9" s="6"/>
      <c r="H9" s="7"/>
      <c r="I9" s="8" t="str">
        <f t="shared" si="0"/>
        <v/>
      </c>
    </row>
    <row r="10" spans="1:9">
      <c r="A10" s="51"/>
      <c r="B10" s="52"/>
      <c r="C10" s="53"/>
      <c r="D10" s="54"/>
      <c r="E10" s="55"/>
      <c r="F10" s="55"/>
      <c r="G10" s="6"/>
      <c r="H10" s="7"/>
      <c r="I10" s="8" t="str">
        <f t="shared" si="0"/>
        <v/>
      </c>
    </row>
    <row r="11" spans="1:9">
      <c r="A11" s="51"/>
      <c r="B11" s="52"/>
      <c r="C11" s="53"/>
      <c r="D11" s="54"/>
      <c r="E11" s="55"/>
      <c r="F11" s="55"/>
      <c r="G11" s="6"/>
      <c r="H11" s="7"/>
      <c r="I11" s="8" t="str">
        <f t="shared" si="0"/>
        <v/>
      </c>
    </row>
    <row r="12" spans="1:9">
      <c r="A12" s="51"/>
      <c r="B12" s="52"/>
      <c r="C12" s="53"/>
      <c r="D12" s="54"/>
      <c r="E12" s="55"/>
      <c r="F12" s="55"/>
      <c r="G12" s="6"/>
      <c r="H12" s="7"/>
      <c r="I12" s="8" t="str">
        <f t="shared" si="0"/>
        <v/>
      </c>
    </row>
    <row r="13" spans="1:9">
      <c r="A13" s="51"/>
      <c r="B13" s="52"/>
      <c r="C13" s="53"/>
      <c r="D13" s="54"/>
      <c r="E13" s="55"/>
      <c r="F13" s="55"/>
      <c r="G13" s="6"/>
      <c r="H13" s="7"/>
      <c r="I13" s="8" t="str">
        <f t="shared" si="0"/>
        <v/>
      </c>
    </row>
    <row r="14" spans="1:9">
      <c r="A14" s="51"/>
      <c r="B14" s="52"/>
      <c r="C14" s="53"/>
      <c r="D14" s="54"/>
      <c r="E14" s="55"/>
      <c r="F14" s="55"/>
      <c r="G14" s="6"/>
      <c r="H14" s="7"/>
      <c r="I14" s="8" t="str">
        <f t="shared" si="0"/>
        <v/>
      </c>
    </row>
    <row r="15" spans="1:9">
      <c r="A15" s="51"/>
      <c r="B15" s="52"/>
      <c r="C15" s="53"/>
      <c r="D15" s="54"/>
      <c r="E15" s="55"/>
      <c r="F15" s="55"/>
      <c r="G15" s="6"/>
      <c r="H15" s="7"/>
      <c r="I15" s="8" t="str">
        <f t="shared" si="0"/>
        <v/>
      </c>
    </row>
    <row r="16" spans="1:9">
      <c r="A16" s="51"/>
      <c r="B16" s="52"/>
      <c r="C16" s="53"/>
      <c r="D16" s="54"/>
      <c r="E16" s="55"/>
      <c r="F16" s="55"/>
      <c r="G16" s="6"/>
      <c r="H16" s="7"/>
      <c r="I16" s="8" t="str">
        <f t="shared" si="0"/>
        <v/>
      </c>
    </row>
    <row r="17" spans="1:11">
      <c r="A17" s="51"/>
      <c r="B17" s="52"/>
      <c r="C17" s="53"/>
      <c r="D17" s="54"/>
      <c r="E17" s="55"/>
      <c r="F17" s="55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9</v>
      </c>
      <c r="B19" s="5" t="s">
        <v>10</v>
      </c>
      <c r="C19" s="4" t="s">
        <v>11</v>
      </c>
      <c r="D19" s="16" t="s">
        <v>12</v>
      </c>
      <c r="E19" s="17" t="s">
        <v>13</v>
      </c>
      <c r="F19" s="16" t="s">
        <v>14</v>
      </c>
      <c r="G19" s="48" t="s">
        <v>15</v>
      </c>
      <c r="H19" s="48"/>
      <c r="I19" s="18"/>
    </row>
    <row r="20" spans="1:11">
      <c r="A20" s="19">
        <f>IF(B20&lt;2,"N/A",(STDEV(H3:H17)))</f>
        <v>220.56763890773564</v>
      </c>
      <c r="B20" s="19">
        <f>COUNT(H3:H17)</f>
        <v>3</v>
      </c>
      <c r="C20" s="20">
        <f>IF(B20&lt;2,"N/A",(A20/D20))</f>
        <v>0.25069347363437894</v>
      </c>
      <c r="D20" s="21">
        <f>ROUND(AVERAGE(H3:H17),2)</f>
        <v>879.83</v>
      </c>
      <c r="E20" s="22">
        <f>IFERROR(ROUND(IF(B20&lt;2,"N/A",(IF(C20&lt;=25%,"N/A",AVERAGE(I3:I17)))),2),"N/A")</f>
        <v>757.25</v>
      </c>
      <c r="F20" s="22">
        <f>ROUND(MEDIAN(H3:H17),2)</f>
        <v>817</v>
      </c>
      <c r="G20" s="23" t="str">
        <f>INDEX(G3:G17,MATCH(H20,H3:H17,0))</f>
        <v>NÃO ALTERE AS FÓRMULAS LTDA</v>
      </c>
      <c r="H20" s="24">
        <f>MIN(H3:H17)</f>
        <v>697.5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49"/>
      <c r="E22" s="49"/>
      <c r="F22" s="30"/>
      <c r="G22" s="31" t="s">
        <v>16</v>
      </c>
      <c r="H22" s="32">
        <f>IF(C20&lt;=25%,D20,MIN(E20:F20))</f>
        <v>757.25</v>
      </c>
    </row>
    <row r="23" spans="1:11">
      <c r="B23" s="25"/>
      <c r="C23" s="25"/>
      <c r="D23" s="49"/>
      <c r="E23" s="49"/>
      <c r="F23" s="33"/>
      <c r="G23" s="4" t="s">
        <v>17</v>
      </c>
      <c r="H23" s="24">
        <f>ROUND(H22,2)*D3</f>
        <v>7572.5</v>
      </c>
    </row>
    <row r="24" spans="1:11">
      <c r="B24" s="29"/>
      <c r="C24" s="29"/>
      <c r="D24" s="18"/>
      <c r="E24" s="18"/>
    </row>
    <row r="26" spans="1:11" ht="12.75" customHeight="1">
      <c r="A26" s="46" t="s">
        <v>18</v>
      </c>
      <c r="B26" s="46"/>
      <c r="C26" s="46"/>
      <c r="D26" s="46"/>
      <c r="E26" s="46"/>
      <c r="F26" s="46"/>
      <c r="G26" s="46"/>
      <c r="H26" s="46"/>
      <c r="I26" s="46"/>
    </row>
    <row r="27" spans="1:11" ht="12.75" customHeight="1">
      <c r="A27" s="46" t="s">
        <v>19</v>
      </c>
      <c r="B27" s="46"/>
      <c r="C27" s="46"/>
      <c r="D27" s="46"/>
      <c r="E27" s="46"/>
      <c r="F27" s="46"/>
      <c r="G27" s="46"/>
      <c r="H27" s="46"/>
      <c r="I27" s="46"/>
    </row>
    <row r="28" spans="1:11" ht="12.75" customHeight="1">
      <c r="A28" s="46" t="s">
        <v>20</v>
      </c>
      <c r="B28" s="46"/>
      <c r="C28" s="46"/>
      <c r="D28" s="46"/>
      <c r="E28" s="46"/>
      <c r="F28" s="46"/>
      <c r="G28" s="46"/>
      <c r="H28" s="46"/>
      <c r="I28" s="46"/>
    </row>
    <row r="29" spans="1:11" ht="12.75" customHeight="1">
      <c r="A29" s="46" t="s">
        <v>21</v>
      </c>
      <c r="B29" s="46"/>
      <c r="C29" s="46"/>
      <c r="D29" s="46"/>
      <c r="E29" s="46"/>
      <c r="F29" s="46"/>
      <c r="G29" s="46"/>
      <c r="H29" s="46"/>
      <c r="I29" s="46"/>
    </row>
    <row r="30" spans="1:11" ht="12.75" customHeight="1">
      <c r="A30" s="46" t="s">
        <v>22</v>
      </c>
      <c r="B30" s="46"/>
      <c r="C30" s="46"/>
      <c r="D30" s="46"/>
      <c r="E30" s="46"/>
      <c r="F30" s="46"/>
      <c r="G30" s="46"/>
      <c r="H30" s="46"/>
      <c r="I30" s="46"/>
    </row>
    <row r="31" spans="1:11" ht="12.75" customHeight="1">
      <c r="A31" s="46" t="s">
        <v>23</v>
      </c>
      <c r="B31" s="46"/>
      <c r="C31" s="46"/>
      <c r="D31" s="46"/>
      <c r="E31" s="46"/>
      <c r="F31" s="46"/>
      <c r="G31" s="46"/>
      <c r="H31" s="46"/>
      <c r="I31" s="46"/>
    </row>
    <row r="32" spans="1:11" ht="24.75" customHeight="1">
      <c r="A32" s="47" t="s">
        <v>24</v>
      </c>
      <c r="B32" s="47"/>
      <c r="C32" s="47"/>
      <c r="D32" s="47"/>
      <c r="E32" s="47"/>
      <c r="F32" s="47"/>
      <c r="G32" s="47"/>
      <c r="H32" s="47"/>
      <c r="I32" s="47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zoomScaleNormal="100" workbookViewId="0">
      <selection activeCell="A18" sqref="A18"/>
    </sheetView>
  </sheetViews>
  <sheetFormatPr defaultColWidth="9.140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1024" width="9.140625" style="1"/>
  </cols>
  <sheetData>
    <row r="1" spans="1:9" ht="15.75">
      <c r="A1" s="50" t="s">
        <v>0</v>
      </c>
      <c r="B1" s="50"/>
      <c r="C1" s="50"/>
      <c r="D1" s="50"/>
      <c r="E1" s="50"/>
      <c r="F1" s="50"/>
      <c r="G1" s="50"/>
      <c r="H1" s="50"/>
      <c r="I1" s="50"/>
    </row>
    <row r="2" spans="1:9" ht="25.5">
      <c r="A2" s="51" t="s">
        <v>34</v>
      </c>
      <c r="B2" s="2" t="s">
        <v>1</v>
      </c>
      <c r="C2" s="2" t="s">
        <v>2</v>
      </c>
      <c r="D2" s="2" t="s">
        <v>3</v>
      </c>
      <c r="E2" s="3" t="s">
        <v>4</v>
      </c>
      <c r="F2" s="3" t="s">
        <v>5</v>
      </c>
      <c r="G2" s="2" t="s">
        <v>6</v>
      </c>
      <c r="H2" s="4" t="s">
        <v>7</v>
      </c>
      <c r="I2" s="5" t="s">
        <v>8</v>
      </c>
    </row>
    <row r="3" spans="1:9" ht="12.75" customHeight="1">
      <c r="A3" s="51"/>
      <c r="B3" s="52" t="s">
        <v>26</v>
      </c>
      <c r="C3" s="53" t="s">
        <v>25</v>
      </c>
      <c r="D3" s="54">
        <v>10</v>
      </c>
      <c r="E3" s="55">
        <f>IF(C20&lt;=25%,D20,MIN(E20:F20))</f>
        <v>757.25</v>
      </c>
      <c r="F3" s="55">
        <f>MIN(H3:H17)</f>
        <v>697.5</v>
      </c>
      <c r="G3" s="6" t="s">
        <v>27</v>
      </c>
      <c r="H3" s="7">
        <v>697.5</v>
      </c>
      <c r="I3" s="8">
        <f t="shared" ref="I3:I17" si="0">IF(H3="","",(IF($C$20&lt;25%,"N/A",IF(H3&lt;=($D$20+$A$20),H3,"Descartado"))))</f>
        <v>697.5</v>
      </c>
    </row>
    <row r="4" spans="1:9">
      <c r="A4" s="51"/>
      <c r="B4" s="52"/>
      <c r="C4" s="53"/>
      <c r="D4" s="54"/>
      <c r="E4" s="55"/>
      <c r="F4" s="55"/>
      <c r="G4" s="6" t="s">
        <v>28</v>
      </c>
      <c r="H4" s="7">
        <v>817</v>
      </c>
      <c r="I4" s="8">
        <f t="shared" si="0"/>
        <v>817</v>
      </c>
    </row>
    <row r="5" spans="1:9">
      <c r="A5" s="51"/>
      <c r="B5" s="52"/>
      <c r="C5" s="53"/>
      <c r="D5" s="54"/>
      <c r="E5" s="55"/>
      <c r="F5" s="55"/>
      <c r="G5" s="6" t="s">
        <v>29</v>
      </c>
      <c r="H5" s="7">
        <v>1125</v>
      </c>
      <c r="I5" s="8" t="str">
        <f t="shared" si="0"/>
        <v>Descartado</v>
      </c>
    </row>
    <row r="6" spans="1:9">
      <c r="A6" s="51"/>
      <c r="B6" s="52"/>
      <c r="C6" s="53"/>
      <c r="D6" s="54"/>
      <c r="E6" s="55"/>
      <c r="F6" s="55"/>
      <c r="G6" s="6"/>
      <c r="H6" s="7"/>
      <c r="I6" s="8" t="str">
        <f t="shared" si="0"/>
        <v/>
      </c>
    </row>
    <row r="7" spans="1:9">
      <c r="A7" s="51"/>
      <c r="B7" s="52"/>
      <c r="C7" s="53"/>
      <c r="D7" s="54"/>
      <c r="E7" s="55"/>
      <c r="F7" s="55"/>
      <c r="G7" s="6"/>
      <c r="H7" s="7"/>
      <c r="I7" s="8" t="str">
        <f t="shared" si="0"/>
        <v/>
      </c>
    </row>
    <row r="8" spans="1:9">
      <c r="A8" s="51"/>
      <c r="B8" s="52"/>
      <c r="C8" s="53"/>
      <c r="D8" s="54"/>
      <c r="E8" s="55"/>
      <c r="F8" s="55"/>
      <c r="G8" s="6"/>
      <c r="H8" s="7"/>
      <c r="I8" s="8" t="str">
        <f t="shared" si="0"/>
        <v/>
      </c>
    </row>
    <row r="9" spans="1:9">
      <c r="A9" s="51"/>
      <c r="B9" s="52"/>
      <c r="C9" s="53"/>
      <c r="D9" s="54"/>
      <c r="E9" s="55"/>
      <c r="F9" s="55"/>
      <c r="G9" s="6"/>
      <c r="H9" s="7"/>
      <c r="I9" s="8" t="str">
        <f t="shared" si="0"/>
        <v/>
      </c>
    </row>
    <row r="10" spans="1:9">
      <c r="A10" s="51"/>
      <c r="B10" s="52"/>
      <c r="C10" s="53"/>
      <c r="D10" s="54"/>
      <c r="E10" s="55"/>
      <c r="F10" s="55"/>
      <c r="G10" s="6"/>
      <c r="H10" s="7"/>
      <c r="I10" s="8" t="str">
        <f t="shared" si="0"/>
        <v/>
      </c>
    </row>
    <row r="11" spans="1:9">
      <c r="A11" s="51"/>
      <c r="B11" s="52"/>
      <c r="C11" s="53"/>
      <c r="D11" s="54"/>
      <c r="E11" s="55"/>
      <c r="F11" s="55"/>
      <c r="G11" s="6"/>
      <c r="H11" s="7"/>
      <c r="I11" s="8" t="str">
        <f t="shared" si="0"/>
        <v/>
      </c>
    </row>
    <row r="12" spans="1:9">
      <c r="A12" s="51"/>
      <c r="B12" s="52"/>
      <c r="C12" s="53"/>
      <c r="D12" s="54"/>
      <c r="E12" s="55"/>
      <c r="F12" s="55"/>
      <c r="G12" s="6"/>
      <c r="H12" s="7"/>
      <c r="I12" s="8" t="str">
        <f t="shared" si="0"/>
        <v/>
      </c>
    </row>
    <row r="13" spans="1:9">
      <c r="A13" s="51"/>
      <c r="B13" s="52"/>
      <c r="C13" s="53"/>
      <c r="D13" s="54"/>
      <c r="E13" s="55"/>
      <c r="F13" s="55"/>
      <c r="G13" s="6"/>
      <c r="H13" s="7"/>
      <c r="I13" s="8" t="str">
        <f t="shared" si="0"/>
        <v/>
      </c>
    </row>
    <row r="14" spans="1:9">
      <c r="A14" s="51"/>
      <c r="B14" s="52"/>
      <c r="C14" s="53"/>
      <c r="D14" s="54"/>
      <c r="E14" s="55"/>
      <c r="F14" s="55"/>
      <c r="G14" s="6"/>
      <c r="H14" s="7"/>
      <c r="I14" s="8" t="str">
        <f t="shared" si="0"/>
        <v/>
      </c>
    </row>
    <row r="15" spans="1:9">
      <c r="A15" s="51"/>
      <c r="B15" s="52"/>
      <c r="C15" s="53"/>
      <c r="D15" s="54"/>
      <c r="E15" s="55"/>
      <c r="F15" s="55"/>
      <c r="G15" s="6"/>
      <c r="H15" s="7"/>
      <c r="I15" s="8" t="str">
        <f t="shared" si="0"/>
        <v/>
      </c>
    </row>
    <row r="16" spans="1:9">
      <c r="A16" s="51"/>
      <c r="B16" s="52"/>
      <c r="C16" s="53"/>
      <c r="D16" s="54"/>
      <c r="E16" s="55"/>
      <c r="F16" s="55"/>
      <c r="G16" s="6"/>
      <c r="H16" s="7"/>
      <c r="I16" s="8" t="str">
        <f t="shared" si="0"/>
        <v/>
      </c>
    </row>
    <row r="17" spans="1:11">
      <c r="A17" s="51"/>
      <c r="B17" s="52"/>
      <c r="C17" s="53"/>
      <c r="D17" s="54"/>
      <c r="E17" s="55"/>
      <c r="F17" s="55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9</v>
      </c>
      <c r="B19" s="5" t="s">
        <v>10</v>
      </c>
      <c r="C19" s="4" t="s">
        <v>11</v>
      </c>
      <c r="D19" s="16" t="s">
        <v>12</v>
      </c>
      <c r="E19" s="17" t="s">
        <v>13</v>
      </c>
      <c r="F19" s="16" t="s">
        <v>14</v>
      </c>
      <c r="G19" s="48" t="s">
        <v>15</v>
      </c>
      <c r="H19" s="48"/>
      <c r="I19" s="18"/>
    </row>
    <row r="20" spans="1:11">
      <c r="A20" s="19">
        <f>IF(B20&lt;2,"N/A",(STDEV(H3:H17)))</f>
        <v>220.56763890773564</v>
      </c>
      <c r="B20" s="19">
        <f>COUNT(H3:H17)</f>
        <v>3</v>
      </c>
      <c r="C20" s="20">
        <f>IF(B20&lt;2,"N/A",(A20/D20))</f>
        <v>0.25069347363437894</v>
      </c>
      <c r="D20" s="21">
        <f>ROUND(AVERAGE(H3:H17),2)</f>
        <v>879.83</v>
      </c>
      <c r="E20" s="22">
        <f>IFERROR(ROUND(IF(B20&lt;2,"N/A",(IF(C20&lt;=25%,"N/A",AVERAGE(I3:I17)))),2),"N/A")</f>
        <v>757.25</v>
      </c>
      <c r="F20" s="22">
        <f>ROUND(MEDIAN(H3:H17),2)</f>
        <v>817</v>
      </c>
      <c r="G20" s="23" t="str">
        <f>INDEX(G3:G17,MATCH(H20,H3:H17,0))</f>
        <v>NÃO ALTERE AS FÓRMULAS LTDA</v>
      </c>
      <c r="H20" s="24">
        <f>MIN(H3:H17)</f>
        <v>697.5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49"/>
      <c r="E22" s="49"/>
      <c r="F22" s="30"/>
      <c r="G22" s="31" t="s">
        <v>16</v>
      </c>
      <c r="H22" s="32">
        <f>IF(C20&lt;=25%,D20,MIN(E20:F20))</f>
        <v>757.25</v>
      </c>
    </row>
    <row r="23" spans="1:11">
      <c r="B23" s="25"/>
      <c r="C23" s="25"/>
      <c r="D23" s="49"/>
      <c r="E23" s="49"/>
      <c r="F23" s="33"/>
      <c r="G23" s="4" t="s">
        <v>17</v>
      </c>
      <c r="H23" s="24">
        <f>ROUND(H22,2)*D3</f>
        <v>7572.5</v>
      </c>
    </row>
    <row r="24" spans="1:11">
      <c r="B24" s="29"/>
      <c r="C24" s="29"/>
      <c r="D24" s="18"/>
      <c r="E24" s="18"/>
    </row>
    <row r="26" spans="1:11" ht="12.75" customHeight="1">
      <c r="A26" s="46" t="s">
        <v>18</v>
      </c>
      <c r="B26" s="46"/>
      <c r="C26" s="46"/>
      <c r="D26" s="46"/>
      <c r="E26" s="46"/>
      <c r="F26" s="46"/>
      <c r="G26" s="46"/>
      <c r="H26" s="46"/>
      <c r="I26" s="46"/>
    </row>
    <row r="27" spans="1:11" ht="12.75" customHeight="1">
      <c r="A27" s="46" t="s">
        <v>19</v>
      </c>
      <c r="B27" s="46"/>
      <c r="C27" s="46"/>
      <c r="D27" s="46"/>
      <c r="E27" s="46"/>
      <c r="F27" s="46"/>
      <c r="G27" s="46"/>
      <c r="H27" s="46"/>
      <c r="I27" s="46"/>
    </row>
    <row r="28" spans="1:11" ht="12.75" customHeight="1">
      <c r="A28" s="46" t="s">
        <v>20</v>
      </c>
      <c r="B28" s="46"/>
      <c r="C28" s="46"/>
      <c r="D28" s="46"/>
      <c r="E28" s="46"/>
      <c r="F28" s="46"/>
      <c r="G28" s="46"/>
      <c r="H28" s="46"/>
      <c r="I28" s="46"/>
    </row>
    <row r="29" spans="1:11" ht="12.75" customHeight="1">
      <c r="A29" s="46" t="s">
        <v>21</v>
      </c>
      <c r="B29" s="46"/>
      <c r="C29" s="46"/>
      <c r="D29" s="46"/>
      <c r="E29" s="46"/>
      <c r="F29" s="46"/>
      <c r="G29" s="46"/>
      <c r="H29" s="46"/>
      <c r="I29" s="46"/>
    </row>
    <row r="30" spans="1:11" ht="12.75" customHeight="1">
      <c r="A30" s="46" t="s">
        <v>22</v>
      </c>
      <c r="B30" s="46"/>
      <c r="C30" s="46"/>
      <c r="D30" s="46"/>
      <c r="E30" s="46"/>
      <c r="F30" s="46"/>
      <c r="G30" s="46"/>
      <c r="H30" s="46"/>
      <c r="I30" s="46"/>
    </row>
    <row r="31" spans="1:11" ht="12.75" customHeight="1">
      <c r="A31" s="46" t="s">
        <v>23</v>
      </c>
      <c r="B31" s="46"/>
      <c r="C31" s="46"/>
      <c r="D31" s="46"/>
      <c r="E31" s="46"/>
      <c r="F31" s="46"/>
      <c r="G31" s="46"/>
      <c r="H31" s="46"/>
      <c r="I31" s="46"/>
    </row>
    <row r="32" spans="1:11" ht="24.75" customHeight="1">
      <c r="A32" s="47" t="s">
        <v>24</v>
      </c>
      <c r="B32" s="47"/>
      <c r="C32" s="47"/>
      <c r="D32" s="47"/>
      <c r="E32" s="47"/>
      <c r="F32" s="47"/>
      <c r="G32" s="47"/>
      <c r="H32" s="47"/>
      <c r="I32" s="47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zoomScaleNormal="100" workbookViewId="0">
      <selection activeCell="A18" sqref="A18"/>
    </sheetView>
  </sheetViews>
  <sheetFormatPr defaultColWidth="9.140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1024" width="9.140625" style="1"/>
  </cols>
  <sheetData>
    <row r="1" spans="1:9" ht="15.75">
      <c r="A1" s="50" t="s">
        <v>0</v>
      </c>
      <c r="B1" s="50"/>
      <c r="C1" s="50"/>
      <c r="D1" s="50"/>
      <c r="E1" s="50"/>
      <c r="F1" s="50"/>
      <c r="G1" s="50"/>
      <c r="H1" s="50"/>
      <c r="I1" s="50"/>
    </row>
    <row r="2" spans="1:9" ht="25.5">
      <c r="A2" s="51" t="s">
        <v>35</v>
      </c>
      <c r="B2" s="2" t="s">
        <v>1</v>
      </c>
      <c r="C2" s="2" t="s">
        <v>2</v>
      </c>
      <c r="D2" s="2" t="s">
        <v>3</v>
      </c>
      <c r="E2" s="3" t="s">
        <v>4</v>
      </c>
      <c r="F2" s="3" t="s">
        <v>5</v>
      </c>
      <c r="G2" s="2" t="s">
        <v>6</v>
      </c>
      <c r="H2" s="4" t="s">
        <v>7</v>
      </c>
      <c r="I2" s="5" t="s">
        <v>8</v>
      </c>
    </row>
    <row r="3" spans="1:9" ht="12.75" customHeight="1">
      <c r="A3" s="51"/>
      <c r="B3" s="52" t="s">
        <v>26</v>
      </c>
      <c r="C3" s="53" t="s">
        <v>25</v>
      </c>
      <c r="D3" s="54">
        <v>10</v>
      </c>
      <c r="E3" s="55">
        <f>IF(C20&lt;=25%,D20,MIN(E20:F20))</f>
        <v>757.25</v>
      </c>
      <c r="F3" s="55">
        <f>MIN(H3:H17)</f>
        <v>697.5</v>
      </c>
      <c r="G3" s="6" t="s">
        <v>27</v>
      </c>
      <c r="H3" s="7">
        <v>697.5</v>
      </c>
      <c r="I3" s="8">
        <f t="shared" ref="I3:I17" si="0">IF(H3="","",(IF($C$20&lt;25%,"N/A",IF(H3&lt;=($D$20+$A$20),H3,"Descartado"))))</f>
        <v>697.5</v>
      </c>
    </row>
    <row r="4" spans="1:9">
      <c r="A4" s="51"/>
      <c r="B4" s="52"/>
      <c r="C4" s="53"/>
      <c r="D4" s="54"/>
      <c r="E4" s="55"/>
      <c r="F4" s="55"/>
      <c r="G4" s="6" t="s">
        <v>28</v>
      </c>
      <c r="H4" s="7">
        <v>817</v>
      </c>
      <c r="I4" s="8">
        <f t="shared" si="0"/>
        <v>817</v>
      </c>
    </row>
    <row r="5" spans="1:9">
      <c r="A5" s="51"/>
      <c r="B5" s="52"/>
      <c r="C5" s="53"/>
      <c r="D5" s="54"/>
      <c r="E5" s="55"/>
      <c r="F5" s="55"/>
      <c r="G5" s="6" t="s">
        <v>29</v>
      </c>
      <c r="H5" s="7">
        <v>1125</v>
      </c>
      <c r="I5" s="8" t="str">
        <f t="shared" si="0"/>
        <v>Descartado</v>
      </c>
    </row>
    <row r="6" spans="1:9">
      <c r="A6" s="51"/>
      <c r="B6" s="52"/>
      <c r="C6" s="53"/>
      <c r="D6" s="54"/>
      <c r="E6" s="55"/>
      <c r="F6" s="55"/>
      <c r="G6" s="6"/>
      <c r="H6" s="7"/>
      <c r="I6" s="8" t="str">
        <f t="shared" si="0"/>
        <v/>
      </c>
    </row>
    <row r="7" spans="1:9">
      <c r="A7" s="51"/>
      <c r="B7" s="52"/>
      <c r="C7" s="53"/>
      <c r="D7" s="54"/>
      <c r="E7" s="55"/>
      <c r="F7" s="55"/>
      <c r="G7" s="6"/>
      <c r="H7" s="7"/>
      <c r="I7" s="8" t="str">
        <f t="shared" si="0"/>
        <v/>
      </c>
    </row>
    <row r="8" spans="1:9">
      <c r="A8" s="51"/>
      <c r="B8" s="52"/>
      <c r="C8" s="53"/>
      <c r="D8" s="54"/>
      <c r="E8" s="55"/>
      <c r="F8" s="55"/>
      <c r="G8" s="6"/>
      <c r="H8" s="7"/>
      <c r="I8" s="8" t="str">
        <f t="shared" si="0"/>
        <v/>
      </c>
    </row>
    <row r="9" spans="1:9">
      <c r="A9" s="51"/>
      <c r="B9" s="52"/>
      <c r="C9" s="53"/>
      <c r="D9" s="54"/>
      <c r="E9" s="55"/>
      <c r="F9" s="55"/>
      <c r="G9" s="6"/>
      <c r="H9" s="7"/>
      <c r="I9" s="8" t="str">
        <f t="shared" si="0"/>
        <v/>
      </c>
    </row>
    <row r="10" spans="1:9">
      <c r="A10" s="51"/>
      <c r="B10" s="52"/>
      <c r="C10" s="53"/>
      <c r="D10" s="54"/>
      <c r="E10" s="55"/>
      <c r="F10" s="55"/>
      <c r="G10" s="6"/>
      <c r="H10" s="7"/>
      <c r="I10" s="8" t="str">
        <f t="shared" si="0"/>
        <v/>
      </c>
    </row>
    <row r="11" spans="1:9">
      <c r="A11" s="51"/>
      <c r="B11" s="52"/>
      <c r="C11" s="53"/>
      <c r="D11" s="54"/>
      <c r="E11" s="55"/>
      <c r="F11" s="55"/>
      <c r="G11" s="6"/>
      <c r="H11" s="7"/>
      <c r="I11" s="8" t="str">
        <f t="shared" si="0"/>
        <v/>
      </c>
    </row>
    <row r="12" spans="1:9">
      <c r="A12" s="51"/>
      <c r="B12" s="52"/>
      <c r="C12" s="53"/>
      <c r="D12" s="54"/>
      <c r="E12" s="55"/>
      <c r="F12" s="55"/>
      <c r="G12" s="6"/>
      <c r="H12" s="7"/>
      <c r="I12" s="8" t="str">
        <f t="shared" si="0"/>
        <v/>
      </c>
    </row>
    <row r="13" spans="1:9">
      <c r="A13" s="51"/>
      <c r="B13" s="52"/>
      <c r="C13" s="53"/>
      <c r="D13" s="54"/>
      <c r="E13" s="55"/>
      <c r="F13" s="55"/>
      <c r="G13" s="6"/>
      <c r="H13" s="7"/>
      <c r="I13" s="8" t="str">
        <f t="shared" si="0"/>
        <v/>
      </c>
    </row>
    <row r="14" spans="1:9">
      <c r="A14" s="51"/>
      <c r="B14" s="52"/>
      <c r="C14" s="53"/>
      <c r="D14" s="54"/>
      <c r="E14" s="55"/>
      <c r="F14" s="55"/>
      <c r="G14" s="6"/>
      <c r="H14" s="7"/>
      <c r="I14" s="8" t="str">
        <f t="shared" si="0"/>
        <v/>
      </c>
    </row>
    <row r="15" spans="1:9">
      <c r="A15" s="51"/>
      <c r="B15" s="52"/>
      <c r="C15" s="53"/>
      <c r="D15" s="54"/>
      <c r="E15" s="55"/>
      <c r="F15" s="55"/>
      <c r="G15" s="6"/>
      <c r="H15" s="7"/>
      <c r="I15" s="8" t="str">
        <f t="shared" si="0"/>
        <v/>
      </c>
    </row>
    <row r="16" spans="1:9">
      <c r="A16" s="51"/>
      <c r="B16" s="52"/>
      <c r="C16" s="53"/>
      <c r="D16" s="54"/>
      <c r="E16" s="55"/>
      <c r="F16" s="55"/>
      <c r="G16" s="6"/>
      <c r="H16" s="7"/>
      <c r="I16" s="8" t="str">
        <f t="shared" si="0"/>
        <v/>
      </c>
    </row>
    <row r="17" spans="1:11">
      <c r="A17" s="51"/>
      <c r="B17" s="52"/>
      <c r="C17" s="53"/>
      <c r="D17" s="54"/>
      <c r="E17" s="55"/>
      <c r="F17" s="55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9</v>
      </c>
      <c r="B19" s="5" t="s">
        <v>10</v>
      </c>
      <c r="C19" s="4" t="s">
        <v>11</v>
      </c>
      <c r="D19" s="16" t="s">
        <v>12</v>
      </c>
      <c r="E19" s="17" t="s">
        <v>13</v>
      </c>
      <c r="F19" s="16" t="s">
        <v>14</v>
      </c>
      <c r="G19" s="48" t="s">
        <v>15</v>
      </c>
      <c r="H19" s="48"/>
      <c r="I19" s="18"/>
    </row>
    <row r="20" spans="1:11">
      <c r="A20" s="19">
        <f>IF(B20&lt;2,"N/A",(STDEV(H3:H17)))</f>
        <v>220.56763890773564</v>
      </c>
      <c r="B20" s="19">
        <f>COUNT(H3:H17)</f>
        <v>3</v>
      </c>
      <c r="C20" s="20">
        <f>IF(B20&lt;2,"N/A",(A20/D20))</f>
        <v>0.25069347363437894</v>
      </c>
      <c r="D20" s="21">
        <f>ROUND(AVERAGE(H3:H17),2)</f>
        <v>879.83</v>
      </c>
      <c r="E20" s="22">
        <f>IFERROR(ROUND(IF(B20&lt;2,"N/A",(IF(C20&lt;=25%,"N/A",AVERAGE(I3:I17)))),2),"N/A")</f>
        <v>757.25</v>
      </c>
      <c r="F20" s="22">
        <f>ROUND(MEDIAN(H3:H17),2)</f>
        <v>817</v>
      </c>
      <c r="G20" s="23" t="str">
        <f>INDEX(G3:G17,MATCH(H20,H3:H17,0))</f>
        <v>NÃO ALTERE AS FÓRMULAS LTDA</v>
      </c>
      <c r="H20" s="24">
        <f>MIN(H3:H17)</f>
        <v>697.5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49"/>
      <c r="E22" s="49"/>
      <c r="F22" s="30"/>
      <c r="G22" s="31" t="s">
        <v>16</v>
      </c>
      <c r="H22" s="32">
        <f>IF(C20&lt;=25%,D20,MIN(E20:F20))</f>
        <v>757.25</v>
      </c>
    </row>
    <row r="23" spans="1:11">
      <c r="B23" s="25"/>
      <c r="C23" s="25"/>
      <c r="D23" s="49"/>
      <c r="E23" s="49"/>
      <c r="F23" s="33"/>
      <c r="G23" s="4" t="s">
        <v>17</v>
      </c>
      <c r="H23" s="24">
        <f>ROUND(H22,2)*D3</f>
        <v>7572.5</v>
      </c>
    </row>
    <row r="24" spans="1:11">
      <c r="B24" s="29"/>
      <c r="C24" s="29"/>
      <c r="D24" s="18"/>
      <c r="E24" s="18"/>
    </row>
    <row r="26" spans="1:11" ht="12.75" customHeight="1">
      <c r="A26" s="46" t="s">
        <v>18</v>
      </c>
      <c r="B26" s="46"/>
      <c r="C26" s="46"/>
      <c r="D26" s="46"/>
      <c r="E26" s="46"/>
      <c r="F26" s="46"/>
      <c r="G26" s="46"/>
      <c r="H26" s="46"/>
      <c r="I26" s="46"/>
    </row>
    <row r="27" spans="1:11" ht="12.75" customHeight="1">
      <c r="A27" s="46" t="s">
        <v>19</v>
      </c>
      <c r="B27" s="46"/>
      <c r="C27" s="46"/>
      <c r="D27" s="46"/>
      <c r="E27" s="46"/>
      <c r="F27" s="46"/>
      <c r="G27" s="46"/>
      <c r="H27" s="46"/>
      <c r="I27" s="46"/>
    </row>
    <row r="28" spans="1:11" ht="12.75" customHeight="1">
      <c r="A28" s="46" t="s">
        <v>20</v>
      </c>
      <c r="B28" s="46"/>
      <c r="C28" s="46"/>
      <c r="D28" s="46"/>
      <c r="E28" s="46"/>
      <c r="F28" s="46"/>
      <c r="G28" s="46"/>
      <c r="H28" s="46"/>
      <c r="I28" s="46"/>
    </row>
    <row r="29" spans="1:11" ht="12.75" customHeight="1">
      <c r="A29" s="46" t="s">
        <v>21</v>
      </c>
      <c r="B29" s="46"/>
      <c r="C29" s="46"/>
      <c r="D29" s="46"/>
      <c r="E29" s="46"/>
      <c r="F29" s="46"/>
      <c r="G29" s="46"/>
      <c r="H29" s="46"/>
      <c r="I29" s="46"/>
    </row>
    <row r="30" spans="1:11" ht="12.75" customHeight="1">
      <c r="A30" s="46" t="s">
        <v>22</v>
      </c>
      <c r="B30" s="46"/>
      <c r="C30" s="46"/>
      <c r="D30" s="46"/>
      <c r="E30" s="46"/>
      <c r="F30" s="46"/>
      <c r="G30" s="46"/>
      <c r="H30" s="46"/>
      <c r="I30" s="46"/>
    </row>
    <row r="31" spans="1:11" ht="12.75" customHeight="1">
      <c r="A31" s="46" t="s">
        <v>23</v>
      </c>
      <c r="B31" s="46"/>
      <c r="C31" s="46"/>
      <c r="D31" s="46"/>
      <c r="E31" s="46"/>
      <c r="F31" s="46"/>
      <c r="G31" s="46"/>
      <c r="H31" s="46"/>
      <c r="I31" s="46"/>
    </row>
    <row r="32" spans="1:11" ht="24.75" customHeight="1">
      <c r="A32" s="47" t="s">
        <v>24</v>
      </c>
      <c r="B32" s="47"/>
      <c r="C32" s="47"/>
      <c r="D32" s="47"/>
      <c r="E32" s="47"/>
      <c r="F32" s="47"/>
      <c r="G32" s="47"/>
      <c r="H32" s="47"/>
      <c r="I32" s="47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zoomScaleNormal="100" workbookViewId="0">
      <selection activeCell="A18" sqref="A18"/>
    </sheetView>
  </sheetViews>
  <sheetFormatPr defaultColWidth="9.140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1024" width="9.140625" style="1"/>
  </cols>
  <sheetData>
    <row r="1" spans="1:9" ht="15.75">
      <c r="A1" s="50" t="s">
        <v>0</v>
      </c>
      <c r="B1" s="50"/>
      <c r="C1" s="50"/>
      <c r="D1" s="50"/>
      <c r="E1" s="50"/>
      <c r="F1" s="50"/>
      <c r="G1" s="50"/>
      <c r="H1" s="50"/>
      <c r="I1" s="50"/>
    </row>
    <row r="2" spans="1:9" ht="25.5">
      <c r="A2" s="51" t="s">
        <v>36</v>
      </c>
      <c r="B2" s="2" t="s">
        <v>1</v>
      </c>
      <c r="C2" s="2" t="s">
        <v>2</v>
      </c>
      <c r="D2" s="2" t="s">
        <v>3</v>
      </c>
      <c r="E2" s="3" t="s">
        <v>4</v>
      </c>
      <c r="F2" s="3" t="s">
        <v>5</v>
      </c>
      <c r="G2" s="2" t="s">
        <v>6</v>
      </c>
      <c r="H2" s="4" t="s">
        <v>7</v>
      </c>
      <c r="I2" s="5" t="s">
        <v>8</v>
      </c>
    </row>
    <row r="3" spans="1:9" ht="12.75" customHeight="1">
      <c r="A3" s="51"/>
      <c r="B3" s="52" t="s">
        <v>26</v>
      </c>
      <c r="C3" s="53" t="s">
        <v>25</v>
      </c>
      <c r="D3" s="54">
        <v>10</v>
      </c>
      <c r="E3" s="55">
        <f>IF(C20&lt;=25%,D20,MIN(E20:F20))</f>
        <v>757.25</v>
      </c>
      <c r="F3" s="55">
        <f>MIN(H3:H17)</f>
        <v>697.5</v>
      </c>
      <c r="G3" s="6" t="s">
        <v>27</v>
      </c>
      <c r="H3" s="7">
        <v>697.5</v>
      </c>
      <c r="I3" s="8">
        <f t="shared" ref="I3:I17" si="0">IF(H3="","",(IF($C$20&lt;25%,"N/A",IF(H3&lt;=($D$20+$A$20),H3,"Descartado"))))</f>
        <v>697.5</v>
      </c>
    </row>
    <row r="4" spans="1:9">
      <c r="A4" s="51"/>
      <c r="B4" s="52"/>
      <c r="C4" s="53"/>
      <c r="D4" s="54"/>
      <c r="E4" s="55"/>
      <c r="F4" s="55"/>
      <c r="G4" s="6" t="s">
        <v>28</v>
      </c>
      <c r="H4" s="7">
        <v>817</v>
      </c>
      <c r="I4" s="8">
        <f t="shared" si="0"/>
        <v>817</v>
      </c>
    </row>
    <row r="5" spans="1:9">
      <c r="A5" s="51"/>
      <c r="B5" s="52"/>
      <c r="C5" s="53"/>
      <c r="D5" s="54"/>
      <c r="E5" s="55"/>
      <c r="F5" s="55"/>
      <c r="G5" s="6" t="s">
        <v>29</v>
      </c>
      <c r="H5" s="7">
        <v>1125</v>
      </c>
      <c r="I5" s="8" t="str">
        <f t="shared" si="0"/>
        <v>Descartado</v>
      </c>
    </row>
    <row r="6" spans="1:9">
      <c r="A6" s="51"/>
      <c r="B6" s="52"/>
      <c r="C6" s="53"/>
      <c r="D6" s="54"/>
      <c r="E6" s="55"/>
      <c r="F6" s="55"/>
      <c r="G6" s="6"/>
      <c r="H6" s="7"/>
      <c r="I6" s="8" t="str">
        <f t="shared" si="0"/>
        <v/>
      </c>
    </row>
    <row r="7" spans="1:9">
      <c r="A7" s="51"/>
      <c r="B7" s="52"/>
      <c r="C7" s="53"/>
      <c r="D7" s="54"/>
      <c r="E7" s="55"/>
      <c r="F7" s="55"/>
      <c r="G7" s="6"/>
      <c r="H7" s="7"/>
      <c r="I7" s="8" t="str">
        <f t="shared" si="0"/>
        <v/>
      </c>
    </row>
    <row r="8" spans="1:9">
      <c r="A8" s="51"/>
      <c r="B8" s="52"/>
      <c r="C8" s="53"/>
      <c r="D8" s="54"/>
      <c r="E8" s="55"/>
      <c r="F8" s="55"/>
      <c r="G8" s="6"/>
      <c r="H8" s="7"/>
      <c r="I8" s="8" t="str">
        <f t="shared" si="0"/>
        <v/>
      </c>
    </row>
    <row r="9" spans="1:9">
      <c r="A9" s="51"/>
      <c r="B9" s="52"/>
      <c r="C9" s="53"/>
      <c r="D9" s="54"/>
      <c r="E9" s="55"/>
      <c r="F9" s="55"/>
      <c r="G9" s="6"/>
      <c r="H9" s="7"/>
      <c r="I9" s="8" t="str">
        <f t="shared" si="0"/>
        <v/>
      </c>
    </row>
    <row r="10" spans="1:9">
      <c r="A10" s="51"/>
      <c r="B10" s="52"/>
      <c r="C10" s="53"/>
      <c r="D10" s="54"/>
      <c r="E10" s="55"/>
      <c r="F10" s="55"/>
      <c r="G10" s="6"/>
      <c r="H10" s="7"/>
      <c r="I10" s="8" t="str">
        <f t="shared" si="0"/>
        <v/>
      </c>
    </row>
    <row r="11" spans="1:9">
      <c r="A11" s="51"/>
      <c r="B11" s="52"/>
      <c r="C11" s="53"/>
      <c r="D11" s="54"/>
      <c r="E11" s="55"/>
      <c r="F11" s="55"/>
      <c r="G11" s="6"/>
      <c r="H11" s="7"/>
      <c r="I11" s="8" t="str">
        <f t="shared" si="0"/>
        <v/>
      </c>
    </row>
    <row r="12" spans="1:9">
      <c r="A12" s="51"/>
      <c r="B12" s="52"/>
      <c r="C12" s="53"/>
      <c r="D12" s="54"/>
      <c r="E12" s="55"/>
      <c r="F12" s="55"/>
      <c r="G12" s="6"/>
      <c r="H12" s="7"/>
      <c r="I12" s="8" t="str">
        <f t="shared" si="0"/>
        <v/>
      </c>
    </row>
    <row r="13" spans="1:9">
      <c r="A13" s="51"/>
      <c r="B13" s="52"/>
      <c r="C13" s="53"/>
      <c r="D13" s="54"/>
      <c r="E13" s="55"/>
      <c r="F13" s="55"/>
      <c r="G13" s="6"/>
      <c r="H13" s="7"/>
      <c r="I13" s="8" t="str">
        <f t="shared" si="0"/>
        <v/>
      </c>
    </row>
    <row r="14" spans="1:9">
      <c r="A14" s="51"/>
      <c r="B14" s="52"/>
      <c r="C14" s="53"/>
      <c r="D14" s="54"/>
      <c r="E14" s="55"/>
      <c r="F14" s="55"/>
      <c r="G14" s="6"/>
      <c r="H14" s="7"/>
      <c r="I14" s="8" t="str">
        <f t="shared" si="0"/>
        <v/>
      </c>
    </row>
    <row r="15" spans="1:9">
      <c r="A15" s="51"/>
      <c r="B15" s="52"/>
      <c r="C15" s="53"/>
      <c r="D15" s="54"/>
      <c r="E15" s="55"/>
      <c r="F15" s="55"/>
      <c r="G15" s="6"/>
      <c r="H15" s="7"/>
      <c r="I15" s="8" t="str">
        <f t="shared" si="0"/>
        <v/>
      </c>
    </row>
    <row r="16" spans="1:9">
      <c r="A16" s="51"/>
      <c r="B16" s="52"/>
      <c r="C16" s="53"/>
      <c r="D16" s="54"/>
      <c r="E16" s="55"/>
      <c r="F16" s="55"/>
      <c r="G16" s="6"/>
      <c r="H16" s="7"/>
      <c r="I16" s="8" t="str">
        <f t="shared" si="0"/>
        <v/>
      </c>
    </row>
    <row r="17" spans="1:11">
      <c r="A17" s="51"/>
      <c r="B17" s="52"/>
      <c r="C17" s="53"/>
      <c r="D17" s="54"/>
      <c r="E17" s="55"/>
      <c r="F17" s="55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9</v>
      </c>
      <c r="B19" s="5" t="s">
        <v>10</v>
      </c>
      <c r="C19" s="4" t="s">
        <v>11</v>
      </c>
      <c r="D19" s="16" t="s">
        <v>12</v>
      </c>
      <c r="E19" s="17" t="s">
        <v>13</v>
      </c>
      <c r="F19" s="16" t="s">
        <v>14</v>
      </c>
      <c r="G19" s="48" t="s">
        <v>15</v>
      </c>
      <c r="H19" s="48"/>
      <c r="I19" s="18"/>
    </row>
    <row r="20" spans="1:11">
      <c r="A20" s="19">
        <f>IF(B20&lt;2,"N/A",(STDEV(H3:H17)))</f>
        <v>220.56763890773564</v>
      </c>
      <c r="B20" s="19">
        <f>COUNT(H3:H17)</f>
        <v>3</v>
      </c>
      <c r="C20" s="20">
        <f>IF(B20&lt;2,"N/A",(A20/D20))</f>
        <v>0.25069347363437894</v>
      </c>
      <c r="D20" s="21">
        <f>ROUND(AVERAGE(H3:H17),2)</f>
        <v>879.83</v>
      </c>
      <c r="E20" s="22">
        <f>IFERROR(ROUND(IF(B20&lt;2,"N/A",(IF(C20&lt;=25%,"N/A",AVERAGE(I3:I17)))),2),"N/A")</f>
        <v>757.25</v>
      </c>
      <c r="F20" s="22">
        <f>ROUND(MEDIAN(H3:H17),2)</f>
        <v>817</v>
      </c>
      <c r="G20" s="23" t="str">
        <f>INDEX(G3:G17,MATCH(H20,H3:H17,0))</f>
        <v>NÃO ALTERE AS FÓRMULAS LTDA</v>
      </c>
      <c r="H20" s="24">
        <f>MIN(H3:H17)</f>
        <v>697.5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49"/>
      <c r="E22" s="49"/>
      <c r="F22" s="30"/>
      <c r="G22" s="31" t="s">
        <v>16</v>
      </c>
      <c r="H22" s="32">
        <f>IF(C20&lt;=25%,D20,MIN(E20:F20))</f>
        <v>757.25</v>
      </c>
    </row>
    <row r="23" spans="1:11">
      <c r="B23" s="25"/>
      <c r="C23" s="25"/>
      <c r="D23" s="49"/>
      <c r="E23" s="49"/>
      <c r="F23" s="33"/>
      <c r="G23" s="4" t="s">
        <v>17</v>
      </c>
      <c r="H23" s="24">
        <f>ROUND(H22,2)*D3</f>
        <v>7572.5</v>
      </c>
    </row>
    <row r="24" spans="1:11">
      <c r="B24" s="29"/>
      <c r="C24" s="29"/>
      <c r="D24" s="18"/>
      <c r="E24" s="18"/>
    </row>
    <row r="26" spans="1:11" ht="12.75" customHeight="1">
      <c r="A26" s="46" t="s">
        <v>18</v>
      </c>
      <c r="B26" s="46"/>
      <c r="C26" s="46"/>
      <c r="D26" s="46"/>
      <c r="E26" s="46"/>
      <c r="F26" s="46"/>
      <c r="G26" s="46"/>
      <c r="H26" s="46"/>
      <c r="I26" s="46"/>
    </row>
    <row r="27" spans="1:11" ht="12.75" customHeight="1">
      <c r="A27" s="46" t="s">
        <v>19</v>
      </c>
      <c r="B27" s="46"/>
      <c r="C27" s="46"/>
      <c r="D27" s="46"/>
      <c r="E27" s="46"/>
      <c r="F27" s="46"/>
      <c r="G27" s="46"/>
      <c r="H27" s="46"/>
      <c r="I27" s="46"/>
    </row>
    <row r="28" spans="1:11" ht="12.75" customHeight="1">
      <c r="A28" s="46" t="s">
        <v>20</v>
      </c>
      <c r="B28" s="46"/>
      <c r="C28" s="46"/>
      <c r="D28" s="46"/>
      <c r="E28" s="46"/>
      <c r="F28" s="46"/>
      <c r="G28" s="46"/>
      <c r="H28" s="46"/>
      <c r="I28" s="46"/>
    </row>
    <row r="29" spans="1:11" ht="12.75" customHeight="1">
      <c r="A29" s="46" t="s">
        <v>21</v>
      </c>
      <c r="B29" s="46"/>
      <c r="C29" s="46"/>
      <c r="D29" s="46"/>
      <c r="E29" s="46"/>
      <c r="F29" s="46"/>
      <c r="G29" s="46"/>
      <c r="H29" s="46"/>
      <c r="I29" s="46"/>
    </row>
    <row r="30" spans="1:11" ht="12.75" customHeight="1">
      <c r="A30" s="46" t="s">
        <v>22</v>
      </c>
      <c r="B30" s="46"/>
      <c r="C30" s="46"/>
      <c r="D30" s="46"/>
      <c r="E30" s="46"/>
      <c r="F30" s="46"/>
      <c r="G30" s="46"/>
      <c r="H30" s="46"/>
      <c r="I30" s="46"/>
    </row>
    <row r="31" spans="1:11" ht="12.75" customHeight="1">
      <c r="A31" s="46" t="s">
        <v>23</v>
      </c>
      <c r="B31" s="46"/>
      <c r="C31" s="46"/>
      <c r="D31" s="46"/>
      <c r="E31" s="46"/>
      <c r="F31" s="46"/>
      <c r="G31" s="46"/>
      <c r="H31" s="46"/>
      <c r="I31" s="46"/>
    </row>
    <row r="32" spans="1:11" ht="24.75" customHeight="1">
      <c r="A32" s="47" t="s">
        <v>24</v>
      </c>
      <c r="B32" s="47"/>
      <c r="C32" s="47"/>
      <c r="D32" s="47"/>
      <c r="E32" s="47"/>
      <c r="F32" s="47"/>
      <c r="G32" s="47"/>
      <c r="H32" s="47"/>
      <c r="I32" s="47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zoomScaleNormal="100" workbookViewId="0">
      <selection activeCell="A18" sqref="A18"/>
    </sheetView>
  </sheetViews>
  <sheetFormatPr defaultColWidth="9.140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1024" width="9.140625" style="1"/>
  </cols>
  <sheetData>
    <row r="1" spans="1:9" ht="15.75">
      <c r="A1" s="50" t="s">
        <v>0</v>
      </c>
      <c r="B1" s="50"/>
      <c r="C1" s="50"/>
      <c r="D1" s="50"/>
      <c r="E1" s="50"/>
      <c r="F1" s="50"/>
      <c r="G1" s="50"/>
      <c r="H1" s="50"/>
      <c r="I1" s="50"/>
    </row>
    <row r="2" spans="1:9" ht="25.5">
      <c r="A2" s="51" t="s">
        <v>37</v>
      </c>
      <c r="B2" s="2" t="s">
        <v>1</v>
      </c>
      <c r="C2" s="2" t="s">
        <v>2</v>
      </c>
      <c r="D2" s="2" t="s">
        <v>3</v>
      </c>
      <c r="E2" s="3" t="s">
        <v>4</v>
      </c>
      <c r="F2" s="3" t="s">
        <v>5</v>
      </c>
      <c r="G2" s="2" t="s">
        <v>6</v>
      </c>
      <c r="H2" s="4" t="s">
        <v>7</v>
      </c>
      <c r="I2" s="5" t="s">
        <v>8</v>
      </c>
    </row>
    <row r="3" spans="1:9" ht="12.75" customHeight="1">
      <c r="A3" s="51"/>
      <c r="B3" s="52" t="s">
        <v>26</v>
      </c>
      <c r="C3" s="53" t="s">
        <v>25</v>
      </c>
      <c r="D3" s="54">
        <v>10</v>
      </c>
      <c r="E3" s="55">
        <f>IF(C20&lt;=25%,D20,MIN(E20:F20))</f>
        <v>757.25</v>
      </c>
      <c r="F3" s="55">
        <f>MIN(H3:H17)</f>
        <v>697.5</v>
      </c>
      <c r="G3" s="6" t="s">
        <v>27</v>
      </c>
      <c r="H3" s="7">
        <v>697.5</v>
      </c>
      <c r="I3" s="8">
        <f t="shared" ref="I3:I17" si="0">IF(H3="","",(IF($C$20&lt;25%,"N/A",IF(H3&lt;=($D$20+$A$20),H3,"Descartado"))))</f>
        <v>697.5</v>
      </c>
    </row>
    <row r="4" spans="1:9">
      <c r="A4" s="51"/>
      <c r="B4" s="52"/>
      <c r="C4" s="53"/>
      <c r="D4" s="54"/>
      <c r="E4" s="55"/>
      <c r="F4" s="55"/>
      <c r="G4" s="6" t="s">
        <v>28</v>
      </c>
      <c r="H4" s="7">
        <v>817</v>
      </c>
      <c r="I4" s="8">
        <f t="shared" si="0"/>
        <v>817</v>
      </c>
    </row>
    <row r="5" spans="1:9">
      <c r="A5" s="51"/>
      <c r="B5" s="52"/>
      <c r="C5" s="53"/>
      <c r="D5" s="54"/>
      <c r="E5" s="55"/>
      <c r="F5" s="55"/>
      <c r="G5" s="6" t="s">
        <v>29</v>
      </c>
      <c r="H5" s="7">
        <v>1125</v>
      </c>
      <c r="I5" s="8" t="str">
        <f t="shared" si="0"/>
        <v>Descartado</v>
      </c>
    </row>
    <row r="6" spans="1:9">
      <c r="A6" s="51"/>
      <c r="B6" s="52"/>
      <c r="C6" s="53"/>
      <c r="D6" s="54"/>
      <c r="E6" s="55"/>
      <c r="F6" s="55"/>
      <c r="G6" s="6"/>
      <c r="H6" s="7"/>
      <c r="I6" s="8" t="str">
        <f t="shared" si="0"/>
        <v/>
      </c>
    </row>
    <row r="7" spans="1:9">
      <c r="A7" s="51"/>
      <c r="B7" s="52"/>
      <c r="C7" s="53"/>
      <c r="D7" s="54"/>
      <c r="E7" s="55"/>
      <c r="F7" s="55"/>
      <c r="G7" s="6"/>
      <c r="H7" s="7"/>
      <c r="I7" s="8" t="str">
        <f t="shared" si="0"/>
        <v/>
      </c>
    </row>
    <row r="8" spans="1:9">
      <c r="A8" s="51"/>
      <c r="B8" s="52"/>
      <c r="C8" s="53"/>
      <c r="D8" s="54"/>
      <c r="E8" s="55"/>
      <c r="F8" s="55"/>
      <c r="G8" s="6"/>
      <c r="H8" s="7"/>
      <c r="I8" s="8" t="str">
        <f t="shared" si="0"/>
        <v/>
      </c>
    </row>
    <row r="9" spans="1:9">
      <c r="A9" s="51"/>
      <c r="B9" s="52"/>
      <c r="C9" s="53"/>
      <c r="D9" s="54"/>
      <c r="E9" s="55"/>
      <c r="F9" s="55"/>
      <c r="G9" s="6"/>
      <c r="H9" s="7"/>
      <c r="I9" s="8" t="str">
        <f t="shared" si="0"/>
        <v/>
      </c>
    </row>
    <row r="10" spans="1:9">
      <c r="A10" s="51"/>
      <c r="B10" s="52"/>
      <c r="C10" s="53"/>
      <c r="D10" s="54"/>
      <c r="E10" s="55"/>
      <c r="F10" s="55"/>
      <c r="G10" s="6"/>
      <c r="H10" s="7"/>
      <c r="I10" s="8" t="str">
        <f t="shared" si="0"/>
        <v/>
      </c>
    </row>
    <row r="11" spans="1:9">
      <c r="A11" s="51"/>
      <c r="B11" s="52"/>
      <c r="C11" s="53"/>
      <c r="D11" s="54"/>
      <c r="E11" s="55"/>
      <c r="F11" s="55"/>
      <c r="G11" s="6"/>
      <c r="H11" s="7"/>
      <c r="I11" s="8" t="str">
        <f t="shared" si="0"/>
        <v/>
      </c>
    </row>
    <row r="12" spans="1:9">
      <c r="A12" s="51"/>
      <c r="B12" s="52"/>
      <c r="C12" s="53"/>
      <c r="D12" s="54"/>
      <c r="E12" s="55"/>
      <c r="F12" s="55"/>
      <c r="G12" s="6"/>
      <c r="H12" s="7"/>
      <c r="I12" s="8" t="str">
        <f t="shared" si="0"/>
        <v/>
      </c>
    </row>
    <row r="13" spans="1:9">
      <c r="A13" s="51"/>
      <c r="B13" s="52"/>
      <c r="C13" s="53"/>
      <c r="D13" s="54"/>
      <c r="E13" s="55"/>
      <c r="F13" s="55"/>
      <c r="G13" s="6"/>
      <c r="H13" s="7"/>
      <c r="I13" s="8" t="str">
        <f t="shared" si="0"/>
        <v/>
      </c>
    </row>
    <row r="14" spans="1:9">
      <c r="A14" s="51"/>
      <c r="B14" s="52"/>
      <c r="C14" s="53"/>
      <c r="D14" s="54"/>
      <c r="E14" s="55"/>
      <c r="F14" s="55"/>
      <c r="G14" s="6"/>
      <c r="H14" s="7"/>
      <c r="I14" s="8" t="str">
        <f t="shared" si="0"/>
        <v/>
      </c>
    </row>
    <row r="15" spans="1:9">
      <c r="A15" s="51"/>
      <c r="B15" s="52"/>
      <c r="C15" s="53"/>
      <c r="D15" s="54"/>
      <c r="E15" s="55"/>
      <c r="F15" s="55"/>
      <c r="G15" s="6"/>
      <c r="H15" s="7"/>
      <c r="I15" s="8" t="str">
        <f t="shared" si="0"/>
        <v/>
      </c>
    </row>
    <row r="16" spans="1:9">
      <c r="A16" s="51"/>
      <c r="B16" s="52"/>
      <c r="C16" s="53"/>
      <c r="D16" s="54"/>
      <c r="E16" s="55"/>
      <c r="F16" s="55"/>
      <c r="G16" s="6"/>
      <c r="H16" s="7"/>
      <c r="I16" s="8" t="str">
        <f t="shared" si="0"/>
        <v/>
      </c>
    </row>
    <row r="17" spans="1:11">
      <c r="A17" s="51"/>
      <c r="B17" s="52"/>
      <c r="C17" s="53"/>
      <c r="D17" s="54"/>
      <c r="E17" s="55"/>
      <c r="F17" s="55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9</v>
      </c>
      <c r="B19" s="5" t="s">
        <v>10</v>
      </c>
      <c r="C19" s="4" t="s">
        <v>11</v>
      </c>
      <c r="D19" s="16" t="s">
        <v>12</v>
      </c>
      <c r="E19" s="17" t="s">
        <v>13</v>
      </c>
      <c r="F19" s="16" t="s">
        <v>14</v>
      </c>
      <c r="G19" s="48" t="s">
        <v>15</v>
      </c>
      <c r="H19" s="48"/>
      <c r="I19" s="18"/>
    </row>
    <row r="20" spans="1:11">
      <c r="A20" s="19">
        <f>IF(B20&lt;2,"N/A",(STDEV(H3:H17)))</f>
        <v>220.56763890773564</v>
      </c>
      <c r="B20" s="19">
        <f>COUNT(H3:H17)</f>
        <v>3</v>
      </c>
      <c r="C20" s="20">
        <f>IF(B20&lt;2,"N/A",(A20/D20))</f>
        <v>0.25069347363437894</v>
      </c>
      <c r="D20" s="21">
        <f>ROUND(AVERAGE(H3:H17),2)</f>
        <v>879.83</v>
      </c>
      <c r="E20" s="22">
        <f>IFERROR(ROUND(IF(B20&lt;2,"N/A",(IF(C20&lt;=25%,"N/A",AVERAGE(I3:I17)))),2),"N/A")</f>
        <v>757.25</v>
      </c>
      <c r="F20" s="22">
        <f>ROUND(MEDIAN(H3:H17),2)</f>
        <v>817</v>
      </c>
      <c r="G20" s="23" t="str">
        <f>INDEX(G3:G17,MATCH(H20,H3:H17,0))</f>
        <v>NÃO ALTERE AS FÓRMULAS LTDA</v>
      </c>
      <c r="H20" s="24">
        <f>MIN(H3:H17)</f>
        <v>697.5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49"/>
      <c r="E22" s="49"/>
      <c r="F22" s="30"/>
      <c r="G22" s="31" t="s">
        <v>16</v>
      </c>
      <c r="H22" s="32">
        <f>IF(C20&lt;=25%,D20,MIN(E20:F20))</f>
        <v>757.25</v>
      </c>
    </row>
    <row r="23" spans="1:11">
      <c r="B23" s="25"/>
      <c r="C23" s="25"/>
      <c r="D23" s="49"/>
      <c r="E23" s="49"/>
      <c r="F23" s="33"/>
      <c r="G23" s="4" t="s">
        <v>17</v>
      </c>
      <c r="H23" s="24">
        <f>ROUND(H22,2)*D3</f>
        <v>7572.5</v>
      </c>
    </row>
    <row r="24" spans="1:11">
      <c r="B24" s="29"/>
      <c r="C24" s="29"/>
      <c r="D24" s="18"/>
      <c r="E24" s="18"/>
    </row>
    <row r="26" spans="1:11" ht="12.75" customHeight="1">
      <c r="A26" s="46" t="s">
        <v>18</v>
      </c>
      <c r="B26" s="46"/>
      <c r="C26" s="46"/>
      <c r="D26" s="46"/>
      <c r="E26" s="46"/>
      <c r="F26" s="46"/>
      <c r="G26" s="46"/>
      <c r="H26" s="46"/>
      <c r="I26" s="46"/>
    </row>
    <row r="27" spans="1:11" ht="12.75" customHeight="1">
      <c r="A27" s="46" t="s">
        <v>19</v>
      </c>
      <c r="B27" s="46"/>
      <c r="C27" s="46"/>
      <c r="D27" s="46"/>
      <c r="E27" s="46"/>
      <c r="F27" s="46"/>
      <c r="G27" s="46"/>
      <c r="H27" s="46"/>
      <c r="I27" s="46"/>
    </row>
    <row r="28" spans="1:11" ht="12.75" customHeight="1">
      <c r="A28" s="46" t="s">
        <v>20</v>
      </c>
      <c r="B28" s="46"/>
      <c r="C28" s="46"/>
      <c r="D28" s="46"/>
      <c r="E28" s="46"/>
      <c r="F28" s="46"/>
      <c r="G28" s="46"/>
      <c r="H28" s="46"/>
      <c r="I28" s="46"/>
    </row>
    <row r="29" spans="1:11" ht="12.75" customHeight="1">
      <c r="A29" s="46" t="s">
        <v>21</v>
      </c>
      <c r="B29" s="46"/>
      <c r="C29" s="46"/>
      <c r="D29" s="46"/>
      <c r="E29" s="46"/>
      <c r="F29" s="46"/>
      <c r="G29" s="46"/>
      <c r="H29" s="46"/>
      <c r="I29" s="46"/>
    </row>
    <row r="30" spans="1:11" ht="12.75" customHeight="1">
      <c r="A30" s="46" t="s">
        <v>22</v>
      </c>
      <c r="B30" s="46"/>
      <c r="C30" s="46"/>
      <c r="D30" s="46"/>
      <c r="E30" s="46"/>
      <c r="F30" s="46"/>
      <c r="G30" s="46"/>
      <c r="H30" s="46"/>
      <c r="I30" s="46"/>
    </row>
    <row r="31" spans="1:11" ht="12.75" customHeight="1">
      <c r="A31" s="46" t="s">
        <v>23</v>
      </c>
      <c r="B31" s="46"/>
      <c r="C31" s="46"/>
      <c r="D31" s="46"/>
      <c r="E31" s="46"/>
      <c r="F31" s="46"/>
      <c r="G31" s="46"/>
      <c r="H31" s="46"/>
      <c r="I31" s="46"/>
    </row>
    <row r="32" spans="1:11" ht="24.75" customHeight="1">
      <c r="A32" s="47" t="s">
        <v>24</v>
      </c>
      <c r="B32" s="47"/>
      <c r="C32" s="47"/>
      <c r="D32" s="47"/>
      <c r="E32" s="47"/>
      <c r="F32" s="47"/>
      <c r="G32" s="47"/>
      <c r="H32" s="47"/>
      <c r="I32" s="47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zoomScaleNormal="100" workbookViewId="0">
      <selection activeCell="A18" sqref="A18"/>
    </sheetView>
  </sheetViews>
  <sheetFormatPr defaultColWidth="9.140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1024" width="9.140625" style="1"/>
  </cols>
  <sheetData>
    <row r="1" spans="1:9" ht="15.75">
      <c r="A1" s="50" t="s">
        <v>0</v>
      </c>
      <c r="B1" s="50"/>
      <c r="C1" s="50"/>
      <c r="D1" s="50"/>
      <c r="E1" s="50"/>
      <c r="F1" s="50"/>
      <c r="G1" s="50"/>
      <c r="H1" s="50"/>
      <c r="I1" s="50"/>
    </row>
    <row r="2" spans="1:9" ht="25.5">
      <c r="A2" s="51" t="s">
        <v>38</v>
      </c>
      <c r="B2" s="2" t="s">
        <v>1</v>
      </c>
      <c r="C2" s="2" t="s">
        <v>2</v>
      </c>
      <c r="D2" s="2" t="s">
        <v>3</v>
      </c>
      <c r="E2" s="3" t="s">
        <v>4</v>
      </c>
      <c r="F2" s="3" t="s">
        <v>5</v>
      </c>
      <c r="G2" s="2" t="s">
        <v>6</v>
      </c>
      <c r="H2" s="4" t="s">
        <v>7</v>
      </c>
      <c r="I2" s="5" t="s">
        <v>8</v>
      </c>
    </row>
    <row r="3" spans="1:9" ht="12.75" customHeight="1">
      <c r="A3" s="51"/>
      <c r="B3" s="52" t="s">
        <v>26</v>
      </c>
      <c r="C3" s="53" t="s">
        <v>25</v>
      </c>
      <c r="D3" s="54">
        <v>10</v>
      </c>
      <c r="E3" s="55">
        <f>IF(C20&lt;=25%,D20,MIN(E20:F20))</f>
        <v>757.25</v>
      </c>
      <c r="F3" s="55">
        <f>MIN(H3:H17)</f>
        <v>697.5</v>
      </c>
      <c r="G3" s="6" t="s">
        <v>27</v>
      </c>
      <c r="H3" s="7">
        <v>697.5</v>
      </c>
      <c r="I3" s="8">
        <f t="shared" ref="I3:I17" si="0">IF(H3="","",(IF($C$20&lt;25%,"N/A",IF(H3&lt;=($D$20+$A$20),H3,"Descartado"))))</f>
        <v>697.5</v>
      </c>
    </row>
    <row r="4" spans="1:9">
      <c r="A4" s="51"/>
      <c r="B4" s="52"/>
      <c r="C4" s="53"/>
      <c r="D4" s="54"/>
      <c r="E4" s="55"/>
      <c r="F4" s="55"/>
      <c r="G4" s="6" t="s">
        <v>28</v>
      </c>
      <c r="H4" s="7">
        <v>817</v>
      </c>
      <c r="I4" s="8">
        <f t="shared" si="0"/>
        <v>817</v>
      </c>
    </row>
    <row r="5" spans="1:9">
      <c r="A5" s="51"/>
      <c r="B5" s="52"/>
      <c r="C5" s="53"/>
      <c r="D5" s="54"/>
      <c r="E5" s="55"/>
      <c r="F5" s="55"/>
      <c r="G5" s="6" t="s">
        <v>29</v>
      </c>
      <c r="H5" s="7">
        <v>1125</v>
      </c>
      <c r="I5" s="8" t="str">
        <f t="shared" si="0"/>
        <v>Descartado</v>
      </c>
    </row>
    <row r="6" spans="1:9">
      <c r="A6" s="51"/>
      <c r="B6" s="52"/>
      <c r="C6" s="53"/>
      <c r="D6" s="54"/>
      <c r="E6" s="55"/>
      <c r="F6" s="55"/>
      <c r="G6" s="6"/>
      <c r="H6" s="7"/>
      <c r="I6" s="8" t="str">
        <f t="shared" si="0"/>
        <v/>
      </c>
    </row>
    <row r="7" spans="1:9">
      <c r="A7" s="51"/>
      <c r="B7" s="52"/>
      <c r="C7" s="53"/>
      <c r="D7" s="54"/>
      <c r="E7" s="55"/>
      <c r="F7" s="55"/>
      <c r="G7" s="6"/>
      <c r="H7" s="7"/>
      <c r="I7" s="8" t="str">
        <f t="shared" si="0"/>
        <v/>
      </c>
    </row>
    <row r="8" spans="1:9">
      <c r="A8" s="51"/>
      <c r="B8" s="52"/>
      <c r="C8" s="53"/>
      <c r="D8" s="54"/>
      <c r="E8" s="55"/>
      <c r="F8" s="55"/>
      <c r="G8" s="6"/>
      <c r="H8" s="7"/>
      <c r="I8" s="8" t="str">
        <f t="shared" si="0"/>
        <v/>
      </c>
    </row>
    <row r="9" spans="1:9">
      <c r="A9" s="51"/>
      <c r="B9" s="52"/>
      <c r="C9" s="53"/>
      <c r="D9" s="54"/>
      <c r="E9" s="55"/>
      <c r="F9" s="55"/>
      <c r="G9" s="6"/>
      <c r="H9" s="7"/>
      <c r="I9" s="8" t="str">
        <f t="shared" si="0"/>
        <v/>
      </c>
    </row>
    <row r="10" spans="1:9">
      <c r="A10" s="51"/>
      <c r="B10" s="52"/>
      <c r="C10" s="53"/>
      <c r="D10" s="54"/>
      <c r="E10" s="55"/>
      <c r="F10" s="55"/>
      <c r="G10" s="6"/>
      <c r="H10" s="7"/>
      <c r="I10" s="8" t="str">
        <f t="shared" si="0"/>
        <v/>
      </c>
    </row>
    <row r="11" spans="1:9">
      <c r="A11" s="51"/>
      <c r="B11" s="52"/>
      <c r="C11" s="53"/>
      <c r="D11" s="54"/>
      <c r="E11" s="55"/>
      <c r="F11" s="55"/>
      <c r="G11" s="6"/>
      <c r="H11" s="7"/>
      <c r="I11" s="8" t="str">
        <f t="shared" si="0"/>
        <v/>
      </c>
    </row>
    <row r="12" spans="1:9">
      <c r="A12" s="51"/>
      <c r="B12" s="52"/>
      <c r="C12" s="53"/>
      <c r="D12" s="54"/>
      <c r="E12" s="55"/>
      <c r="F12" s="55"/>
      <c r="G12" s="6"/>
      <c r="H12" s="7"/>
      <c r="I12" s="8" t="str">
        <f t="shared" si="0"/>
        <v/>
      </c>
    </row>
    <row r="13" spans="1:9">
      <c r="A13" s="51"/>
      <c r="B13" s="52"/>
      <c r="C13" s="53"/>
      <c r="D13" s="54"/>
      <c r="E13" s="55"/>
      <c r="F13" s="55"/>
      <c r="G13" s="6"/>
      <c r="H13" s="7"/>
      <c r="I13" s="8" t="str">
        <f t="shared" si="0"/>
        <v/>
      </c>
    </row>
    <row r="14" spans="1:9">
      <c r="A14" s="51"/>
      <c r="B14" s="52"/>
      <c r="C14" s="53"/>
      <c r="D14" s="54"/>
      <c r="E14" s="55"/>
      <c r="F14" s="55"/>
      <c r="G14" s="6"/>
      <c r="H14" s="7"/>
      <c r="I14" s="8" t="str">
        <f t="shared" si="0"/>
        <v/>
      </c>
    </row>
    <row r="15" spans="1:9">
      <c r="A15" s="51"/>
      <c r="B15" s="52"/>
      <c r="C15" s="53"/>
      <c r="D15" s="54"/>
      <c r="E15" s="55"/>
      <c r="F15" s="55"/>
      <c r="G15" s="6"/>
      <c r="H15" s="7"/>
      <c r="I15" s="8" t="str">
        <f t="shared" si="0"/>
        <v/>
      </c>
    </row>
    <row r="16" spans="1:9">
      <c r="A16" s="51"/>
      <c r="B16" s="52"/>
      <c r="C16" s="53"/>
      <c r="D16" s="54"/>
      <c r="E16" s="55"/>
      <c r="F16" s="55"/>
      <c r="G16" s="6"/>
      <c r="H16" s="7"/>
      <c r="I16" s="8" t="str">
        <f t="shared" si="0"/>
        <v/>
      </c>
    </row>
    <row r="17" spans="1:11">
      <c r="A17" s="51"/>
      <c r="B17" s="52"/>
      <c r="C17" s="53"/>
      <c r="D17" s="54"/>
      <c r="E17" s="55"/>
      <c r="F17" s="55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9</v>
      </c>
      <c r="B19" s="5" t="s">
        <v>10</v>
      </c>
      <c r="C19" s="4" t="s">
        <v>11</v>
      </c>
      <c r="D19" s="16" t="s">
        <v>12</v>
      </c>
      <c r="E19" s="17" t="s">
        <v>13</v>
      </c>
      <c r="F19" s="16" t="s">
        <v>14</v>
      </c>
      <c r="G19" s="48" t="s">
        <v>15</v>
      </c>
      <c r="H19" s="48"/>
      <c r="I19" s="18"/>
    </row>
    <row r="20" spans="1:11">
      <c r="A20" s="19">
        <f>IF(B20&lt;2,"N/A",(STDEV(H3:H17)))</f>
        <v>220.56763890773564</v>
      </c>
      <c r="B20" s="19">
        <f>COUNT(H3:H17)</f>
        <v>3</v>
      </c>
      <c r="C20" s="20">
        <f>IF(B20&lt;2,"N/A",(A20/D20))</f>
        <v>0.25069347363437894</v>
      </c>
      <c r="D20" s="21">
        <f>ROUND(AVERAGE(H3:H17),2)</f>
        <v>879.83</v>
      </c>
      <c r="E20" s="22">
        <f>IFERROR(ROUND(IF(B20&lt;2,"N/A",(IF(C20&lt;=25%,"N/A",AVERAGE(I3:I17)))),2),"N/A")</f>
        <v>757.25</v>
      </c>
      <c r="F20" s="22">
        <f>ROUND(MEDIAN(H3:H17),2)</f>
        <v>817</v>
      </c>
      <c r="G20" s="23" t="str">
        <f>INDEX(G3:G17,MATCH(H20,H3:H17,0))</f>
        <v>NÃO ALTERE AS FÓRMULAS LTDA</v>
      </c>
      <c r="H20" s="24">
        <f>MIN(H3:H17)</f>
        <v>697.5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49"/>
      <c r="E22" s="49"/>
      <c r="F22" s="30"/>
      <c r="G22" s="31" t="s">
        <v>16</v>
      </c>
      <c r="H22" s="32">
        <f>IF(C20&lt;=25%,D20,MIN(E20:F20))</f>
        <v>757.25</v>
      </c>
    </row>
    <row r="23" spans="1:11">
      <c r="B23" s="25"/>
      <c r="C23" s="25"/>
      <c r="D23" s="49"/>
      <c r="E23" s="49"/>
      <c r="F23" s="33"/>
      <c r="G23" s="4" t="s">
        <v>17</v>
      </c>
      <c r="H23" s="24">
        <f>ROUND(H22,2)*D3</f>
        <v>7572.5</v>
      </c>
    </row>
    <row r="24" spans="1:11">
      <c r="B24" s="29"/>
      <c r="C24" s="29"/>
      <c r="D24" s="18"/>
      <c r="E24" s="18"/>
    </row>
    <row r="26" spans="1:11" ht="12.75" customHeight="1">
      <c r="A26" s="46" t="s">
        <v>18</v>
      </c>
      <c r="B26" s="46"/>
      <c r="C26" s="46"/>
      <c r="D26" s="46"/>
      <c r="E26" s="46"/>
      <c r="F26" s="46"/>
      <c r="G26" s="46"/>
      <c r="H26" s="46"/>
      <c r="I26" s="46"/>
    </row>
    <row r="27" spans="1:11" ht="12.75" customHeight="1">
      <c r="A27" s="46" t="s">
        <v>19</v>
      </c>
      <c r="B27" s="46"/>
      <c r="C27" s="46"/>
      <c r="D27" s="46"/>
      <c r="E27" s="46"/>
      <c r="F27" s="46"/>
      <c r="G27" s="46"/>
      <c r="H27" s="46"/>
      <c r="I27" s="46"/>
    </row>
    <row r="28" spans="1:11" ht="12.75" customHeight="1">
      <c r="A28" s="46" t="s">
        <v>20</v>
      </c>
      <c r="B28" s="46"/>
      <c r="C28" s="46"/>
      <c r="D28" s="46"/>
      <c r="E28" s="46"/>
      <c r="F28" s="46"/>
      <c r="G28" s="46"/>
      <c r="H28" s="46"/>
      <c r="I28" s="46"/>
    </row>
    <row r="29" spans="1:11" ht="12.75" customHeight="1">
      <c r="A29" s="46" t="s">
        <v>21</v>
      </c>
      <c r="B29" s="46"/>
      <c r="C29" s="46"/>
      <c r="D29" s="46"/>
      <c r="E29" s="46"/>
      <c r="F29" s="46"/>
      <c r="G29" s="46"/>
      <c r="H29" s="46"/>
      <c r="I29" s="46"/>
    </row>
    <row r="30" spans="1:11" ht="12.75" customHeight="1">
      <c r="A30" s="46" t="s">
        <v>22</v>
      </c>
      <c r="B30" s="46"/>
      <c r="C30" s="46"/>
      <c r="D30" s="46"/>
      <c r="E30" s="46"/>
      <c r="F30" s="46"/>
      <c r="G30" s="46"/>
      <c r="H30" s="46"/>
      <c r="I30" s="46"/>
    </row>
    <row r="31" spans="1:11" ht="12.75" customHeight="1">
      <c r="A31" s="46" t="s">
        <v>23</v>
      </c>
      <c r="B31" s="46"/>
      <c r="C31" s="46"/>
      <c r="D31" s="46"/>
      <c r="E31" s="46"/>
      <c r="F31" s="46"/>
      <c r="G31" s="46"/>
      <c r="H31" s="46"/>
      <c r="I31" s="46"/>
    </row>
    <row r="32" spans="1:11" ht="24.75" customHeight="1">
      <c r="A32" s="47" t="s">
        <v>24</v>
      </c>
      <c r="B32" s="47"/>
      <c r="C32" s="47"/>
      <c r="D32" s="47"/>
      <c r="E32" s="47"/>
      <c r="F32" s="47"/>
      <c r="G32" s="47"/>
      <c r="H32" s="47"/>
      <c r="I32" s="47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zoomScaleNormal="100" workbookViewId="0">
      <selection activeCell="H6" sqref="H6"/>
    </sheetView>
  </sheetViews>
  <sheetFormatPr defaultColWidth="9.140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1024" width="9.140625" style="1"/>
  </cols>
  <sheetData>
    <row r="1" spans="1:9" ht="15.75">
      <c r="A1" s="50" t="s">
        <v>0</v>
      </c>
      <c r="B1" s="50"/>
      <c r="C1" s="50"/>
      <c r="D1" s="50"/>
      <c r="E1" s="50"/>
      <c r="F1" s="50"/>
      <c r="G1" s="50"/>
      <c r="H1" s="50"/>
      <c r="I1" s="50"/>
    </row>
    <row r="2" spans="1:9" ht="25.5">
      <c r="A2" s="51" t="s">
        <v>72</v>
      </c>
      <c r="B2" s="2" t="s">
        <v>1</v>
      </c>
      <c r="C2" s="2" t="s">
        <v>2</v>
      </c>
      <c r="D2" s="2" t="s">
        <v>3</v>
      </c>
      <c r="E2" s="3" t="s">
        <v>4</v>
      </c>
      <c r="F2" s="3" t="s">
        <v>5</v>
      </c>
      <c r="G2" s="2" t="s">
        <v>6</v>
      </c>
      <c r="H2" s="4" t="s">
        <v>7</v>
      </c>
      <c r="I2" s="5" t="s">
        <v>8</v>
      </c>
    </row>
    <row r="3" spans="1:9" ht="12.75" customHeight="1">
      <c r="A3" s="51"/>
      <c r="B3" s="52" t="s">
        <v>64</v>
      </c>
      <c r="C3" s="53" t="s">
        <v>60</v>
      </c>
      <c r="D3" s="54">
        <v>12</v>
      </c>
      <c r="E3" s="55">
        <f>IF(C20&lt;=25%,D20,MIN(E20:F20))</f>
        <v>207.87</v>
      </c>
      <c r="F3" s="55">
        <f>MIN(H3:H17)</f>
        <v>189.8</v>
      </c>
      <c r="G3" s="6" t="s">
        <v>78</v>
      </c>
      <c r="H3" s="7">
        <v>592.16</v>
      </c>
      <c r="I3" s="8" t="str">
        <f t="shared" ref="I3:I17" si="0">IF(H3="","",(IF($C$20&lt;25%,"N/A",IF(H3&lt;=($D$20+$A$20),H3,"Descartado"))))</f>
        <v>Descartado</v>
      </c>
    </row>
    <row r="4" spans="1:9">
      <c r="A4" s="51"/>
      <c r="B4" s="52"/>
      <c r="C4" s="53"/>
      <c r="D4" s="54"/>
      <c r="E4" s="55"/>
      <c r="F4" s="55"/>
      <c r="G4" s="6" t="s">
        <v>79</v>
      </c>
      <c r="H4" s="7">
        <f>208.94*1.0814</f>
        <v>225.94771599999999</v>
      </c>
      <c r="I4" s="8">
        <f t="shared" si="0"/>
        <v>225.94771599999999</v>
      </c>
    </row>
    <row r="5" spans="1:9">
      <c r="A5" s="51"/>
      <c r="B5" s="52"/>
      <c r="C5" s="53"/>
      <c r="D5" s="54"/>
      <c r="E5" s="55"/>
      <c r="F5" s="55"/>
      <c r="G5" s="6" t="s">
        <v>81</v>
      </c>
      <c r="H5" s="7">
        <v>189.8</v>
      </c>
      <c r="I5" s="8">
        <f t="shared" si="0"/>
        <v>189.8</v>
      </c>
    </row>
    <row r="6" spans="1:9">
      <c r="A6" s="51"/>
      <c r="B6" s="52"/>
      <c r="C6" s="53"/>
      <c r="D6" s="54"/>
      <c r="E6" s="55"/>
      <c r="F6" s="55"/>
      <c r="G6" s="6"/>
      <c r="H6" s="7"/>
      <c r="I6" s="8" t="str">
        <f t="shared" si="0"/>
        <v/>
      </c>
    </row>
    <row r="7" spans="1:9">
      <c r="A7" s="51"/>
      <c r="B7" s="52"/>
      <c r="C7" s="53"/>
      <c r="D7" s="54"/>
      <c r="E7" s="55"/>
      <c r="F7" s="55"/>
      <c r="G7" s="6"/>
      <c r="H7" s="7"/>
      <c r="I7" s="8" t="str">
        <f t="shared" si="0"/>
        <v/>
      </c>
    </row>
    <row r="8" spans="1:9">
      <c r="A8" s="51"/>
      <c r="B8" s="52"/>
      <c r="C8" s="53"/>
      <c r="D8" s="54"/>
      <c r="E8" s="55"/>
      <c r="F8" s="55"/>
      <c r="G8" s="6"/>
      <c r="H8" s="7"/>
      <c r="I8" s="8" t="str">
        <f t="shared" si="0"/>
        <v/>
      </c>
    </row>
    <row r="9" spans="1:9">
      <c r="A9" s="51"/>
      <c r="B9" s="52"/>
      <c r="C9" s="53"/>
      <c r="D9" s="54"/>
      <c r="E9" s="55"/>
      <c r="F9" s="55"/>
      <c r="G9" s="6"/>
      <c r="H9" s="7"/>
      <c r="I9" s="8" t="str">
        <f t="shared" si="0"/>
        <v/>
      </c>
    </row>
    <row r="10" spans="1:9">
      <c r="A10" s="51"/>
      <c r="B10" s="52"/>
      <c r="C10" s="53"/>
      <c r="D10" s="54"/>
      <c r="E10" s="55"/>
      <c r="F10" s="55"/>
      <c r="G10" s="6"/>
      <c r="H10" s="7"/>
      <c r="I10" s="8" t="str">
        <f t="shared" si="0"/>
        <v/>
      </c>
    </row>
    <row r="11" spans="1:9">
      <c r="A11" s="51"/>
      <c r="B11" s="52"/>
      <c r="C11" s="53"/>
      <c r="D11" s="54"/>
      <c r="E11" s="55"/>
      <c r="F11" s="55"/>
      <c r="G11" s="6"/>
      <c r="H11" s="7"/>
      <c r="I11" s="8" t="str">
        <f t="shared" si="0"/>
        <v/>
      </c>
    </row>
    <row r="12" spans="1:9">
      <c r="A12" s="51"/>
      <c r="B12" s="52"/>
      <c r="C12" s="53"/>
      <c r="D12" s="54"/>
      <c r="E12" s="55"/>
      <c r="F12" s="55"/>
      <c r="G12" s="6"/>
      <c r="H12" s="7"/>
      <c r="I12" s="8" t="str">
        <f t="shared" si="0"/>
        <v/>
      </c>
    </row>
    <row r="13" spans="1:9">
      <c r="A13" s="51"/>
      <c r="B13" s="52"/>
      <c r="C13" s="53"/>
      <c r="D13" s="54"/>
      <c r="E13" s="55"/>
      <c r="F13" s="55"/>
      <c r="G13" s="6"/>
      <c r="H13" s="7"/>
      <c r="I13" s="8" t="str">
        <f t="shared" si="0"/>
        <v/>
      </c>
    </row>
    <row r="14" spans="1:9">
      <c r="A14" s="51"/>
      <c r="B14" s="52"/>
      <c r="C14" s="53"/>
      <c r="D14" s="54"/>
      <c r="E14" s="55"/>
      <c r="F14" s="55"/>
      <c r="G14" s="6"/>
      <c r="H14" s="7"/>
      <c r="I14" s="8" t="str">
        <f t="shared" si="0"/>
        <v/>
      </c>
    </row>
    <row r="15" spans="1:9">
      <c r="A15" s="51"/>
      <c r="B15" s="52"/>
      <c r="C15" s="53"/>
      <c r="D15" s="54"/>
      <c r="E15" s="55"/>
      <c r="F15" s="55"/>
      <c r="G15" s="6"/>
      <c r="H15" s="7"/>
      <c r="I15" s="8" t="str">
        <f t="shared" si="0"/>
        <v/>
      </c>
    </row>
    <row r="16" spans="1:9">
      <c r="A16" s="51"/>
      <c r="B16" s="52"/>
      <c r="C16" s="53"/>
      <c r="D16" s="54"/>
      <c r="E16" s="55"/>
      <c r="F16" s="55"/>
      <c r="G16" s="6"/>
      <c r="H16" s="7"/>
      <c r="I16" s="8" t="str">
        <f t="shared" si="0"/>
        <v/>
      </c>
    </row>
    <row r="17" spans="1:11">
      <c r="A17" s="51"/>
      <c r="B17" s="52"/>
      <c r="C17" s="53"/>
      <c r="D17" s="54"/>
      <c r="E17" s="55"/>
      <c r="F17" s="55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9</v>
      </c>
      <c r="B19" s="5" t="s">
        <v>10</v>
      </c>
      <c r="C19" s="4" t="s">
        <v>11</v>
      </c>
      <c r="D19" s="16" t="s">
        <v>12</v>
      </c>
      <c r="E19" s="17" t="s">
        <v>13</v>
      </c>
      <c r="F19" s="16" t="s">
        <v>14</v>
      </c>
      <c r="G19" s="48" t="s">
        <v>15</v>
      </c>
      <c r="H19" s="48"/>
      <c r="I19" s="18"/>
    </row>
    <row r="20" spans="1:11">
      <c r="A20" s="19">
        <f>IF(B20&lt;2,"N/A",(STDEV(H3:H17)))</f>
        <v>222.60265943474005</v>
      </c>
      <c r="B20" s="19">
        <f>COUNT(H3:H17)</f>
        <v>3</v>
      </c>
      <c r="C20" s="20">
        <f>IF(B20&lt;2,"N/A",(A20/D20))</f>
        <v>0.66256707275869875</v>
      </c>
      <c r="D20" s="21">
        <f>ROUND(AVERAGE(H3:H17),2)</f>
        <v>335.97</v>
      </c>
      <c r="E20" s="22">
        <f>IFERROR(ROUND(IF(B20&lt;2,"N/A",(IF(C20&lt;=25%,"N/A",AVERAGE(I3:I17)))),2),"N/A")</f>
        <v>207.87</v>
      </c>
      <c r="F20" s="22">
        <f>ROUND(MEDIAN(H3:H17),2)</f>
        <v>225.95</v>
      </c>
      <c r="G20" s="23" t="str">
        <f>INDEX(G3:G17,MATCH(H20,H3:H17,0))</f>
        <v>TRE-SC - UNIMED - Contr. 21/18 - Ap. 20/21</v>
      </c>
      <c r="H20" s="24">
        <f>MIN(H3:H17)</f>
        <v>189.8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49"/>
      <c r="E22" s="49"/>
      <c r="F22" s="30"/>
      <c r="G22" s="31" t="s">
        <v>16</v>
      </c>
      <c r="H22" s="32">
        <f>IF(C20&lt;=25%,D20,MIN(E20:F20))</f>
        <v>207.87</v>
      </c>
    </row>
    <row r="23" spans="1:11">
      <c r="B23" s="25"/>
      <c r="C23" s="25"/>
      <c r="D23" s="49"/>
      <c r="E23" s="49"/>
      <c r="F23" s="33"/>
      <c r="G23" s="4" t="s">
        <v>17</v>
      </c>
      <c r="H23" s="24">
        <f>ROUND(H22,2)*D3</f>
        <v>2494.44</v>
      </c>
    </row>
    <row r="24" spans="1:11">
      <c r="B24" s="29"/>
      <c r="C24" s="29"/>
      <c r="D24" s="18"/>
      <c r="E24" s="18"/>
    </row>
    <row r="26" spans="1:11" ht="12.75" customHeight="1">
      <c r="A26" s="46" t="s">
        <v>18</v>
      </c>
      <c r="B26" s="46"/>
      <c r="C26" s="46"/>
      <c r="D26" s="46"/>
      <c r="E26" s="46"/>
      <c r="F26" s="46"/>
      <c r="G26" s="46"/>
      <c r="H26" s="46"/>
      <c r="I26" s="46"/>
    </row>
    <row r="27" spans="1:11" ht="12.75" customHeight="1">
      <c r="A27" s="46" t="s">
        <v>19</v>
      </c>
      <c r="B27" s="46"/>
      <c r="C27" s="46"/>
      <c r="D27" s="46"/>
      <c r="E27" s="46"/>
      <c r="F27" s="46"/>
      <c r="G27" s="46"/>
      <c r="H27" s="46"/>
      <c r="I27" s="46"/>
    </row>
    <row r="28" spans="1:11" ht="12.75" customHeight="1">
      <c r="A28" s="46" t="s">
        <v>20</v>
      </c>
      <c r="B28" s="46"/>
      <c r="C28" s="46"/>
      <c r="D28" s="46"/>
      <c r="E28" s="46"/>
      <c r="F28" s="46"/>
      <c r="G28" s="46"/>
      <c r="H28" s="46"/>
      <c r="I28" s="46"/>
    </row>
    <row r="29" spans="1:11" ht="12.75" customHeight="1">
      <c r="A29" s="46" t="s">
        <v>21</v>
      </c>
      <c r="B29" s="46"/>
      <c r="C29" s="46"/>
      <c r="D29" s="46"/>
      <c r="E29" s="46"/>
      <c r="F29" s="46"/>
      <c r="G29" s="46"/>
      <c r="H29" s="46"/>
      <c r="I29" s="46"/>
    </row>
    <row r="30" spans="1:11" ht="12.75" customHeight="1">
      <c r="A30" s="46" t="s">
        <v>22</v>
      </c>
      <c r="B30" s="46"/>
      <c r="C30" s="46"/>
      <c r="D30" s="46"/>
      <c r="E30" s="46"/>
      <c r="F30" s="46"/>
      <c r="G30" s="46"/>
      <c r="H30" s="46"/>
      <c r="I30" s="46"/>
    </row>
    <row r="31" spans="1:11" ht="12.75" customHeight="1">
      <c r="A31" s="46" t="s">
        <v>23</v>
      </c>
      <c r="B31" s="46"/>
      <c r="C31" s="46"/>
      <c r="D31" s="46"/>
      <c r="E31" s="46"/>
      <c r="F31" s="46"/>
      <c r="G31" s="46"/>
      <c r="H31" s="46"/>
      <c r="I31" s="46"/>
    </row>
    <row r="32" spans="1:11" ht="24.75" customHeight="1">
      <c r="A32" s="47" t="s">
        <v>24</v>
      </c>
      <c r="B32" s="47"/>
      <c r="C32" s="47"/>
      <c r="D32" s="47"/>
      <c r="E32" s="47"/>
      <c r="F32" s="47"/>
      <c r="G32" s="47"/>
      <c r="H32" s="47"/>
      <c r="I32" s="47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zoomScaleNormal="100" workbookViewId="0">
      <selection activeCell="A18" sqref="A18"/>
    </sheetView>
  </sheetViews>
  <sheetFormatPr defaultColWidth="9.140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1024" width="9.140625" style="1"/>
  </cols>
  <sheetData>
    <row r="1" spans="1:9" ht="15.75">
      <c r="A1" s="50" t="s">
        <v>0</v>
      </c>
      <c r="B1" s="50"/>
      <c r="C1" s="50"/>
      <c r="D1" s="50"/>
      <c r="E1" s="50"/>
      <c r="F1" s="50"/>
      <c r="G1" s="50"/>
      <c r="H1" s="50"/>
      <c r="I1" s="50"/>
    </row>
    <row r="2" spans="1:9" ht="25.5">
      <c r="A2" s="51" t="s">
        <v>39</v>
      </c>
      <c r="B2" s="2" t="s">
        <v>1</v>
      </c>
      <c r="C2" s="2" t="s">
        <v>2</v>
      </c>
      <c r="D2" s="2" t="s">
        <v>3</v>
      </c>
      <c r="E2" s="3" t="s">
        <v>4</v>
      </c>
      <c r="F2" s="3" t="s">
        <v>5</v>
      </c>
      <c r="G2" s="2" t="s">
        <v>6</v>
      </c>
      <c r="H2" s="4" t="s">
        <v>7</v>
      </c>
      <c r="I2" s="5" t="s">
        <v>8</v>
      </c>
    </row>
    <row r="3" spans="1:9" ht="12.75" customHeight="1">
      <c r="A3" s="51"/>
      <c r="B3" s="52" t="s">
        <v>26</v>
      </c>
      <c r="C3" s="53" t="s">
        <v>25</v>
      </c>
      <c r="D3" s="54">
        <v>10</v>
      </c>
      <c r="E3" s="55">
        <f>IF(C20&lt;=25%,D20,MIN(E20:F20))</f>
        <v>757.25</v>
      </c>
      <c r="F3" s="55">
        <f>MIN(H3:H17)</f>
        <v>697.5</v>
      </c>
      <c r="G3" s="6" t="s">
        <v>27</v>
      </c>
      <c r="H3" s="7">
        <v>697.5</v>
      </c>
      <c r="I3" s="8">
        <f t="shared" ref="I3:I17" si="0">IF(H3="","",(IF($C$20&lt;25%,"N/A",IF(H3&lt;=($D$20+$A$20),H3,"Descartado"))))</f>
        <v>697.5</v>
      </c>
    </row>
    <row r="4" spans="1:9">
      <c r="A4" s="51"/>
      <c r="B4" s="52"/>
      <c r="C4" s="53"/>
      <c r="D4" s="54"/>
      <c r="E4" s="55"/>
      <c r="F4" s="55"/>
      <c r="G4" s="6" t="s">
        <v>28</v>
      </c>
      <c r="H4" s="7">
        <v>817</v>
      </c>
      <c r="I4" s="8">
        <f t="shared" si="0"/>
        <v>817</v>
      </c>
    </row>
    <row r="5" spans="1:9">
      <c r="A5" s="51"/>
      <c r="B5" s="52"/>
      <c r="C5" s="53"/>
      <c r="D5" s="54"/>
      <c r="E5" s="55"/>
      <c r="F5" s="55"/>
      <c r="G5" s="6" t="s">
        <v>29</v>
      </c>
      <c r="H5" s="7">
        <v>1125</v>
      </c>
      <c r="I5" s="8" t="str">
        <f t="shared" si="0"/>
        <v>Descartado</v>
      </c>
    </row>
    <row r="6" spans="1:9">
      <c r="A6" s="51"/>
      <c r="B6" s="52"/>
      <c r="C6" s="53"/>
      <c r="D6" s="54"/>
      <c r="E6" s="55"/>
      <c r="F6" s="55"/>
      <c r="G6" s="6"/>
      <c r="H6" s="7"/>
      <c r="I6" s="8" t="str">
        <f t="shared" si="0"/>
        <v/>
      </c>
    </row>
    <row r="7" spans="1:9">
      <c r="A7" s="51"/>
      <c r="B7" s="52"/>
      <c r="C7" s="53"/>
      <c r="D7" s="54"/>
      <c r="E7" s="55"/>
      <c r="F7" s="55"/>
      <c r="G7" s="6"/>
      <c r="H7" s="7"/>
      <c r="I7" s="8" t="str">
        <f t="shared" si="0"/>
        <v/>
      </c>
    </row>
    <row r="8" spans="1:9">
      <c r="A8" s="51"/>
      <c r="B8" s="52"/>
      <c r="C8" s="53"/>
      <c r="D8" s="54"/>
      <c r="E8" s="55"/>
      <c r="F8" s="55"/>
      <c r="G8" s="6"/>
      <c r="H8" s="7"/>
      <c r="I8" s="8" t="str">
        <f t="shared" si="0"/>
        <v/>
      </c>
    </row>
    <row r="9" spans="1:9">
      <c r="A9" s="51"/>
      <c r="B9" s="52"/>
      <c r="C9" s="53"/>
      <c r="D9" s="54"/>
      <c r="E9" s="55"/>
      <c r="F9" s="55"/>
      <c r="G9" s="6"/>
      <c r="H9" s="7"/>
      <c r="I9" s="8" t="str">
        <f t="shared" si="0"/>
        <v/>
      </c>
    </row>
    <row r="10" spans="1:9">
      <c r="A10" s="51"/>
      <c r="B10" s="52"/>
      <c r="C10" s="53"/>
      <c r="D10" s="54"/>
      <c r="E10" s="55"/>
      <c r="F10" s="55"/>
      <c r="G10" s="6"/>
      <c r="H10" s="7"/>
      <c r="I10" s="8" t="str">
        <f t="shared" si="0"/>
        <v/>
      </c>
    </row>
    <row r="11" spans="1:9">
      <c r="A11" s="51"/>
      <c r="B11" s="52"/>
      <c r="C11" s="53"/>
      <c r="D11" s="54"/>
      <c r="E11" s="55"/>
      <c r="F11" s="55"/>
      <c r="G11" s="6"/>
      <c r="H11" s="7"/>
      <c r="I11" s="8" t="str">
        <f t="shared" si="0"/>
        <v/>
      </c>
    </row>
    <row r="12" spans="1:9">
      <c r="A12" s="51"/>
      <c r="B12" s="52"/>
      <c r="C12" s="53"/>
      <c r="D12" s="54"/>
      <c r="E12" s="55"/>
      <c r="F12" s="55"/>
      <c r="G12" s="6"/>
      <c r="H12" s="7"/>
      <c r="I12" s="8" t="str">
        <f t="shared" si="0"/>
        <v/>
      </c>
    </row>
    <row r="13" spans="1:9">
      <c r="A13" s="51"/>
      <c r="B13" s="52"/>
      <c r="C13" s="53"/>
      <c r="D13" s="54"/>
      <c r="E13" s="55"/>
      <c r="F13" s="55"/>
      <c r="G13" s="6"/>
      <c r="H13" s="7"/>
      <c r="I13" s="8" t="str">
        <f t="shared" si="0"/>
        <v/>
      </c>
    </row>
    <row r="14" spans="1:9">
      <c r="A14" s="51"/>
      <c r="B14" s="52"/>
      <c r="C14" s="53"/>
      <c r="D14" s="54"/>
      <c r="E14" s="55"/>
      <c r="F14" s="55"/>
      <c r="G14" s="6"/>
      <c r="H14" s="7"/>
      <c r="I14" s="8" t="str">
        <f t="shared" si="0"/>
        <v/>
      </c>
    </row>
    <row r="15" spans="1:9">
      <c r="A15" s="51"/>
      <c r="B15" s="52"/>
      <c r="C15" s="53"/>
      <c r="D15" s="54"/>
      <c r="E15" s="55"/>
      <c r="F15" s="55"/>
      <c r="G15" s="6"/>
      <c r="H15" s="7"/>
      <c r="I15" s="8" t="str">
        <f t="shared" si="0"/>
        <v/>
      </c>
    </row>
    <row r="16" spans="1:9">
      <c r="A16" s="51"/>
      <c r="B16" s="52"/>
      <c r="C16" s="53"/>
      <c r="D16" s="54"/>
      <c r="E16" s="55"/>
      <c r="F16" s="55"/>
      <c r="G16" s="6"/>
      <c r="H16" s="7"/>
      <c r="I16" s="8" t="str">
        <f t="shared" si="0"/>
        <v/>
      </c>
    </row>
    <row r="17" spans="1:11">
      <c r="A17" s="51"/>
      <c r="B17" s="52"/>
      <c r="C17" s="53"/>
      <c r="D17" s="54"/>
      <c r="E17" s="55"/>
      <c r="F17" s="55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9</v>
      </c>
      <c r="B19" s="5" t="s">
        <v>10</v>
      </c>
      <c r="C19" s="4" t="s">
        <v>11</v>
      </c>
      <c r="D19" s="16" t="s">
        <v>12</v>
      </c>
      <c r="E19" s="17" t="s">
        <v>13</v>
      </c>
      <c r="F19" s="16" t="s">
        <v>14</v>
      </c>
      <c r="G19" s="48" t="s">
        <v>15</v>
      </c>
      <c r="H19" s="48"/>
      <c r="I19" s="18"/>
    </row>
    <row r="20" spans="1:11">
      <c r="A20" s="19">
        <f>IF(B20&lt;2,"N/A",(STDEV(H3:H17)))</f>
        <v>220.56763890773564</v>
      </c>
      <c r="B20" s="19">
        <f>COUNT(H3:H17)</f>
        <v>3</v>
      </c>
      <c r="C20" s="20">
        <f>IF(B20&lt;2,"N/A",(A20/D20))</f>
        <v>0.25069347363437894</v>
      </c>
      <c r="D20" s="21">
        <f>ROUND(AVERAGE(H3:H17),2)</f>
        <v>879.83</v>
      </c>
      <c r="E20" s="22">
        <f>IFERROR(ROUND(IF(B20&lt;2,"N/A",(IF(C20&lt;=25%,"N/A",AVERAGE(I3:I17)))),2),"N/A")</f>
        <v>757.25</v>
      </c>
      <c r="F20" s="22">
        <f>ROUND(MEDIAN(H3:H17),2)</f>
        <v>817</v>
      </c>
      <c r="G20" s="23" t="str">
        <f>INDEX(G3:G17,MATCH(H20,H3:H17,0))</f>
        <v>NÃO ALTERE AS FÓRMULAS LTDA</v>
      </c>
      <c r="H20" s="24">
        <f>MIN(H3:H17)</f>
        <v>697.5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49"/>
      <c r="E22" s="49"/>
      <c r="F22" s="30"/>
      <c r="G22" s="31" t="s">
        <v>16</v>
      </c>
      <c r="H22" s="32">
        <f>IF(C20&lt;=25%,D20,MIN(E20:F20))</f>
        <v>757.25</v>
      </c>
    </row>
    <row r="23" spans="1:11">
      <c r="B23" s="25"/>
      <c r="C23" s="25"/>
      <c r="D23" s="49"/>
      <c r="E23" s="49"/>
      <c r="F23" s="33"/>
      <c r="G23" s="4" t="s">
        <v>17</v>
      </c>
      <c r="H23" s="24">
        <f>ROUND(H22,2)*D3</f>
        <v>7572.5</v>
      </c>
    </row>
    <row r="24" spans="1:11">
      <c r="B24" s="29"/>
      <c r="C24" s="29"/>
      <c r="D24" s="18"/>
      <c r="E24" s="18"/>
    </row>
    <row r="26" spans="1:11" ht="12.75" customHeight="1">
      <c r="A26" s="46" t="s">
        <v>18</v>
      </c>
      <c r="B26" s="46"/>
      <c r="C26" s="46"/>
      <c r="D26" s="46"/>
      <c r="E26" s="46"/>
      <c r="F26" s="46"/>
      <c r="G26" s="46"/>
      <c r="H26" s="46"/>
      <c r="I26" s="46"/>
    </row>
    <row r="27" spans="1:11" ht="12.75" customHeight="1">
      <c r="A27" s="46" t="s">
        <v>19</v>
      </c>
      <c r="B27" s="46"/>
      <c r="C27" s="46"/>
      <c r="D27" s="46"/>
      <c r="E27" s="46"/>
      <c r="F27" s="46"/>
      <c r="G27" s="46"/>
      <c r="H27" s="46"/>
      <c r="I27" s="46"/>
    </row>
    <row r="28" spans="1:11" ht="12.75" customHeight="1">
      <c r="A28" s="46" t="s">
        <v>20</v>
      </c>
      <c r="B28" s="46"/>
      <c r="C28" s="46"/>
      <c r="D28" s="46"/>
      <c r="E28" s="46"/>
      <c r="F28" s="46"/>
      <c r="G28" s="46"/>
      <c r="H28" s="46"/>
      <c r="I28" s="46"/>
    </row>
    <row r="29" spans="1:11" ht="12.75" customHeight="1">
      <c r="A29" s="46" t="s">
        <v>21</v>
      </c>
      <c r="B29" s="46"/>
      <c r="C29" s="46"/>
      <c r="D29" s="46"/>
      <c r="E29" s="46"/>
      <c r="F29" s="46"/>
      <c r="G29" s="46"/>
      <c r="H29" s="46"/>
      <c r="I29" s="46"/>
    </row>
    <row r="30" spans="1:11" ht="12.75" customHeight="1">
      <c r="A30" s="46" t="s">
        <v>22</v>
      </c>
      <c r="B30" s="46"/>
      <c r="C30" s="46"/>
      <c r="D30" s="46"/>
      <c r="E30" s="46"/>
      <c r="F30" s="46"/>
      <c r="G30" s="46"/>
      <c r="H30" s="46"/>
      <c r="I30" s="46"/>
    </row>
    <row r="31" spans="1:11" ht="12.75" customHeight="1">
      <c r="A31" s="46" t="s">
        <v>23</v>
      </c>
      <c r="B31" s="46"/>
      <c r="C31" s="46"/>
      <c r="D31" s="46"/>
      <c r="E31" s="46"/>
      <c r="F31" s="46"/>
      <c r="G31" s="46"/>
      <c r="H31" s="46"/>
      <c r="I31" s="46"/>
    </row>
    <row r="32" spans="1:11" ht="24.75" customHeight="1">
      <c r="A32" s="47" t="s">
        <v>24</v>
      </c>
      <c r="B32" s="47"/>
      <c r="C32" s="47"/>
      <c r="D32" s="47"/>
      <c r="E32" s="47"/>
      <c r="F32" s="47"/>
      <c r="G32" s="47"/>
      <c r="H32" s="47"/>
      <c r="I32" s="47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zoomScaleNormal="100" workbookViewId="0">
      <selection activeCell="A18" sqref="A18"/>
    </sheetView>
  </sheetViews>
  <sheetFormatPr defaultColWidth="9.140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1024" width="9.140625" style="1"/>
  </cols>
  <sheetData>
    <row r="1" spans="1:9" ht="15.75">
      <c r="A1" s="50" t="s">
        <v>0</v>
      </c>
      <c r="B1" s="50"/>
      <c r="C1" s="50"/>
      <c r="D1" s="50"/>
      <c r="E1" s="50"/>
      <c r="F1" s="50"/>
      <c r="G1" s="50"/>
      <c r="H1" s="50"/>
      <c r="I1" s="50"/>
    </row>
    <row r="2" spans="1:9" ht="25.5">
      <c r="A2" s="51" t="s">
        <v>40</v>
      </c>
      <c r="B2" s="2" t="s">
        <v>1</v>
      </c>
      <c r="C2" s="2" t="s">
        <v>2</v>
      </c>
      <c r="D2" s="2" t="s">
        <v>3</v>
      </c>
      <c r="E2" s="3" t="s">
        <v>4</v>
      </c>
      <c r="F2" s="3" t="s">
        <v>5</v>
      </c>
      <c r="G2" s="2" t="s">
        <v>6</v>
      </c>
      <c r="H2" s="4" t="s">
        <v>7</v>
      </c>
      <c r="I2" s="5" t="s">
        <v>8</v>
      </c>
    </row>
    <row r="3" spans="1:9" ht="12.75" customHeight="1">
      <c r="A3" s="51"/>
      <c r="B3" s="52" t="s">
        <v>26</v>
      </c>
      <c r="C3" s="53" t="s">
        <v>25</v>
      </c>
      <c r="D3" s="54">
        <v>10</v>
      </c>
      <c r="E3" s="55">
        <f>IF(C20&lt;=25%,D20,MIN(E20:F20))</f>
        <v>757.25</v>
      </c>
      <c r="F3" s="55">
        <f>MIN(H3:H17)</f>
        <v>697.5</v>
      </c>
      <c r="G3" s="6" t="s">
        <v>27</v>
      </c>
      <c r="H3" s="7">
        <v>697.5</v>
      </c>
      <c r="I3" s="8">
        <f t="shared" ref="I3:I17" si="0">IF(H3="","",(IF($C$20&lt;25%,"N/A",IF(H3&lt;=($D$20+$A$20),H3,"Descartado"))))</f>
        <v>697.5</v>
      </c>
    </row>
    <row r="4" spans="1:9">
      <c r="A4" s="51"/>
      <c r="B4" s="52"/>
      <c r="C4" s="53"/>
      <c r="D4" s="54"/>
      <c r="E4" s="55"/>
      <c r="F4" s="55"/>
      <c r="G4" s="6" t="s">
        <v>28</v>
      </c>
      <c r="H4" s="7">
        <v>817</v>
      </c>
      <c r="I4" s="8">
        <f t="shared" si="0"/>
        <v>817</v>
      </c>
    </row>
    <row r="5" spans="1:9">
      <c r="A5" s="51"/>
      <c r="B5" s="52"/>
      <c r="C5" s="53"/>
      <c r="D5" s="54"/>
      <c r="E5" s="55"/>
      <c r="F5" s="55"/>
      <c r="G5" s="6" t="s">
        <v>29</v>
      </c>
      <c r="H5" s="7">
        <v>1125</v>
      </c>
      <c r="I5" s="8" t="str">
        <f t="shared" si="0"/>
        <v>Descartado</v>
      </c>
    </row>
    <row r="6" spans="1:9">
      <c r="A6" s="51"/>
      <c r="B6" s="52"/>
      <c r="C6" s="53"/>
      <c r="D6" s="54"/>
      <c r="E6" s="55"/>
      <c r="F6" s="55"/>
      <c r="G6" s="6"/>
      <c r="H6" s="7"/>
      <c r="I6" s="8" t="str">
        <f t="shared" si="0"/>
        <v/>
      </c>
    </row>
    <row r="7" spans="1:9">
      <c r="A7" s="51"/>
      <c r="B7" s="52"/>
      <c r="C7" s="53"/>
      <c r="D7" s="54"/>
      <c r="E7" s="55"/>
      <c r="F7" s="55"/>
      <c r="G7" s="6"/>
      <c r="H7" s="7"/>
      <c r="I7" s="8" t="str">
        <f t="shared" si="0"/>
        <v/>
      </c>
    </row>
    <row r="8" spans="1:9">
      <c r="A8" s="51"/>
      <c r="B8" s="52"/>
      <c r="C8" s="53"/>
      <c r="D8" s="54"/>
      <c r="E8" s="55"/>
      <c r="F8" s="55"/>
      <c r="G8" s="6"/>
      <c r="H8" s="7"/>
      <c r="I8" s="8" t="str">
        <f t="shared" si="0"/>
        <v/>
      </c>
    </row>
    <row r="9" spans="1:9">
      <c r="A9" s="51"/>
      <c r="B9" s="52"/>
      <c r="C9" s="53"/>
      <c r="D9" s="54"/>
      <c r="E9" s="55"/>
      <c r="F9" s="55"/>
      <c r="G9" s="6"/>
      <c r="H9" s="7"/>
      <c r="I9" s="8" t="str">
        <f t="shared" si="0"/>
        <v/>
      </c>
    </row>
    <row r="10" spans="1:9">
      <c r="A10" s="51"/>
      <c r="B10" s="52"/>
      <c r="C10" s="53"/>
      <c r="D10" s="54"/>
      <c r="E10" s="55"/>
      <c r="F10" s="55"/>
      <c r="G10" s="6"/>
      <c r="H10" s="7"/>
      <c r="I10" s="8" t="str">
        <f t="shared" si="0"/>
        <v/>
      </c>
    </row>
    <row r="11" spans="1:9">
      <c r="A11" s="51"/>
      <c r="B11" s="52"/>
      <c r="C11" s="53"/>
      <c r="D11" s="54"/>
      <c r="E11" s="55"/>
      <c r="F11" s="55"/>
      <c r="G11" s="6"/>
      <c r="H11" s="7"/>
      <c r="I11" s="8" t="str">
        <f t="shared" si="0"/>
        <v/>
      </c>
    </row>
    <row r="12" spans="1:9">
      <c r="A12" s="51"/>
      <c r="B12" s="52"/>
      <c r="C12" s="53"/>
      <c r="D12" s="54"/>
      <c r="E12" s="55"/>
      <c r="F12" s="55"/>
      <c r="G12" s="6"/>
      <c r="H12" s="7"/>
      <c r="I12" s="8" t="str">
        <f t="shared" si="0"/>
        <v/>
      </c>
    </row>
    <row r="13" spans="1:9">
      <c r="A13" s="51"/>
      <c r="B13" s="52"/>
      <c r="C13" s="53"/>
      <c r="D13" s="54"/>
      <c r="E13" s="55"/>
      <c r="F13" s="55"/>
      <c r="G13" s="6"/>
      <c r="H13" s="7"/>
      <c r="I13" s="8" t="str">
        <f t="shared" si="0"/>
        <v/>
      </c>
    </row>
    <row r="14" spans="1:9">
      <c r="A14" s="51"/>
      <c r="B14" s="52"/>
      <c r="C14" s="53"/>
      <c r="D14" s="54"/>
      <c r="E14" s="55"/>
      <c r="F14" s="55"/>
      <c r="G14" s="6"/>
      <c r="H14" s="7"/>
      <c r="I14" s="8" t="str">
        <f t="shared" si="0"/>
        <v/>
      </c>
    </row>
    <row r="15" spans="1:9">
      <c r="A15" s="51"/>
      <c r="B15" s="52"/>
      <c r="C15" s="53"/>
      <c r="D15" s="54"/>
      <c r="E15" s="55"/>
      <c r="F15" s="55"/>
      <c r="G15" s="6"/>
      <c r="H15" s="7"/>
      <c r="I15" s="8" t="str">
        <f t="shared" si="0"/>
        <v/>
      </c>
    </row>
    <row r="16" spans="1:9">
      <c r="A16" s="51"/>
      <c r="B16" s="52"/>
      <c r="C16" s="53"/>
      <c r="D16" s="54"/>
      <c r="E16" s="55"/>
      <c r="F16" s="55"/>
      <c r="G16" s="6"/>
      <c r="H16" s="7"/>
      <c r="I16" s="8" t="str">
        <f t="shared" si="0"/>
        <v/>
      </c>
    </row>
    <row r="17" spans="1:11">
      <c r="A17" s="51"/>
      <c r="B17" s="52"/>
      <c r="C17" s="53"/>
      <c r="D17" s="54"/>
      <c r="E17" s="55"/>
      <c r="F17" s="55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9</v>
      </c>
      <c r="B19" s="5" t="s">
        <v>10</v>
      </c>
      <c r="C19" s="4" t="s">
        <v>11</v>
      </c>
      <c r="D19" s="16" t="s">
        <v>12</v>
      </c>
      <c r="E19" s="17" t="s">
        <v>13</v>
      </c>
      <c r="F19" s="16" t="s">
        <v>14</v>
      </c>
      <c r="G19" s="48" t="s">
        <v>15</v>
      </c>
      <c r="H19" s="48"/>
      <c r="I19" s="18"/>
    </row>
    <row r="20" spans="1:11">
      <c r="A20" s="19">
        <f>IF(B20&lt;2,"N/A",(STDEV(H3:H17)))</f>
        <v>220.56763890773564</v>
      </c>
      <c r="B20" s="19">
        <f>COUNT(H3:H17)</f>
        <v>3</v>
      </c>
      <c r="C20" s="20">
        <f>IF(B20&lt;2,"N/A",(A20/D20))</f>
        <v>0.25069347363437894</v>
      </c>
      <c r="D20" s="21">
        <f>ROUND(AVERAGE(H3:H17),2)</f>
        <v>879.83</v>
      </c>
      <c r="E20" s="22">
        <f>IFERROR(ROUND(IF(B20&lt;2,"N/A",(IF(C20&lt;=25%,"N/A",AVERAGE(I3:I17)))),2),"N/A")</f>
        <v>757.25</v>
      </c>
      <c r="F20" s="22">
        <f>ROUND(MEDIAN(H3:H17),2)</f>
        <v>817</v>
      </c>
      <c r="G20" s="23" t="str">
        <f>INDEX(G3:G17,MATCH(H20,H3:H17,0))</f>
        <v>NÃO ALTERE AS FÓRMULAS LTDA</v>
      </c>
      <c r="H20" s="24">
        <f>MIN(H3:H17)</f>
        <v>697.5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49"/>
      <c r="E22" s="49"/>
      <c r="F22" s="30"/>
      <c r="G22" s="31" t="s">
        <v>16</v>
      </c>
      <c r="H22" s="32">
        <f>IF(C20&lt;=25%,D20,MIN(E20:F20))</f>
        <v>757.25</v>
      </c>
    </row>
    <row r="23" spans="1:11">
      <c r="B23" s="25"/>
      <c r="C23" s="25"/>
      <c r="D23" s="49"/>
      <c r="E23" s="49"/>
      <c r="F23" s="33"/>
      <c r="G23" s="4" t="s">
        <v>17</v>
      </c>
      <c r="H23" s="24">
        <f>ROUND(H22,2)*D3</f>
        <v>7572.5</v>
      </c>
    </row>
    <row r="24" spans="1:11">
      <c r="B24" s="29"/>
      <c r="C24" s="29"/>
      <c r="D24" s="18"/>
      <c r="E24" s="18"/>
    </row>
    <row r="26" spans="1:11" ht="12.75" customHeight="1">
      <c r="A26" s="46" t="s">
        <v>18</v>
      </c>
      <c r="B26" s="46"/>
      <c r="C26" s="46"/>
      <c r="D26" s="46"/>
      <c r="E26" s="46"/>
      <c r="F26" s="46"/>
      <c r="G26" s="46"/>
      <c r="H26" s="46"/>
      <c r="I26" s="46"/>
    </row>
    <row r="27" spans="1:11" ht="12.75" customHeight="1">
      <c r="A27" s="46" t="s">
        <v>19</v>
      </c>
      <c r="B27" s="46"/>
      <c r="C27" s="46"/>
      <c r="D27" s="46"/>
      <c r="E27" s="46"/>
      <c r="F27" s="46"/>
      <c r="G27" s="46"/>
      <c r="H27" s="46"/>
      <c r="I27" s="46"/>
    </row>
    <row r="28" spans="1:11" ht="12.75" customHeight="1">
      <c r="A28" s="46" t="s">
        <v>20</v>
      </c>
      <c r="B28" s="46"/>
      <c r="C28" s="46"/>
      <c r="D28" s="46"/>
      <c r="E28" s="46"/>
      <c r="F28" s="46"/>
      <c r="G28" s="46"/>
      <c r="H28" s="46"/>
      <c r="I28" s="46"/>
    </row>
    <row r="29" spans="1:11" ht="12.75" customHeight="1">
      <c r="A29" s="46" t="s">
        <v>21</v>
      </c>
      <c r="B29" s="46"/>
      <c r="C29" s="46"/>
      <c r="D29" s="46"/>
      <c r="E29" s="46"/>
      <c r="F29" s="46"/>
      <c r="G29" s="46"/>
      <c r="H29" s="46"/>
      <c r="I29" s="46"/>
    </row>
    <row r="30" spans="1:11" ht="12.75" customHeight="1">
      <c r="A30" s="46" t="s">
        <v>22</v>
      </c>
      <c r="B30" s="46"/>
      <c r="C30" s="46"/>
      <c r="D30" s="46"/>
      <c r="E30" s="46"/>
      <c r="F30" s="46"/>
      <c r="G30" s="46"/>
      <c r="H30" s="46"/>
      <c r="I30" s="46"/>
    </row>
    <row r="31" spans="1:11" ht="12.75" customHeight="1">
      <c r="A31" s="46" t="s">
        <v>23</v>
      </c>
      <c r="B31" s="46"/>
      <c r="C31" s="46"/>
      <c r="D31" s="46"/>
      <c r="E31" s="46"/>
      <c r="F31" s="46"/>
      <c r="G31" s="46"/>
      <c r="H31" s="46"/>
      <c r="I31" s="46"/>
    </row>
    <row r="32" spans="1:11" ht="24.75" customHeight="1">
      <c r="A32" s="47" t="s">
        <v>24</v>
      </c>
      <c r="B32" s="47"/>
      <c r="C32" s="47"/>
      <c r="D32" s="47"/>
      <c r="E32" s="47"/>
      <c r="F32" s="47"/>
      <c r="G32" s="47"/>
      <c r="H32" s="47"/>
      <c r="I32" s="47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zoomScaleNormal="100" workbookViewId="0">
      <selection activeCell="A18" sqref="A18"/>
    </sheetView>
  </sheetViews>
  <sheetFormatPr defaultColWidth="9.140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1024" width="9.140625" style="1"/>
  </cols>
  <sheetData>
    <row r="1" spans="1:9" ht="15.75">
      <c r="A1" s="50" t="s">
        <v>0</v>
      </c>
      <c r="B1" s="50"/>
      <c r="C1" s="50"/>
      <c r="D1" s="50"/>
      <c r="E1" s="50"/>
      <c r="F1" s="50"/>
      <c r="G1" s="50"/>
      <c r="H1" s="50"/>
      <c r="I1" s="50"/>
    </row>
    <row r="2" spans="1:9" ht="25.5">
      <c r="A2" s="51" t="s">
        <v>41</v>
      </c>
      <c r="B2" s="2" t="s">
        <v>1</v>
      </c>
      <c r="C2" s="2" t="s">
        <v>2</v>
      </c>
      <c r="D2" s="2" t="s">
        <v>3</v>
      </c>
      <c r="E2" s="3" t="s">
        <v>4</v>
      </c>
      <c r="F2" s="3" t="s">
        <v>5</v>
      </c>
      <c r="G2" s="2" t="s">
        <v>6</v>
      </c>
      <c r="H2" s="4" t="s">
        <v>7</v>
      </c>
      <c r="I2" s="5" t="s">
        <v>8</v>
      </c>
    </row>
    <row r="3" spans="1:9" ht="12.75" customHeight="1">
      <c r="A3" s="51"/>
      <c r="B3" s="52" t="s">
        <v>26</v>
      </c>
      <c r="C3" s="53" t="s">
        <v>25</v>
      </c>
      <c r="D3" s="54">
        <v>10</v>
      </c>
      <c r="E3" s="55">
        <f>IF(C20&lt;=25%,D20,MIN(E20:F20))</f>
        <v>757.25</v>
      </c>
      <c r="F3" s="55">
        <f>MIN(H3:H17)</f>
        <v>697.5</v>
      </c>
      <c r="G3" s="6" t="s">
        <v>27</v>
      </c>
      <c r="H3" s="7">
        <v>697.5</v>
      </c>
      <c r="I3" s="8">
        <f t="shared" ref="I3:I17" si="0">IF(H3="","",(IF($C$20&lt;25%,"N/A",IF(H3&lt;=($D$20+$A$20),H3,"Descartado"))))</f>
        <v>697.5</v>
      </c>
    </row>
    <row r="4" spans="1:9">
      <c r="A4" s="51"/>
      <c r="B4" s="52"/>
      <c r="C4" s="53"/>
      <c r="D4" s="54"/>
      <c r="E4" s="55"/>
      <c r="F4" s="55"/>
      <c r="G4" s="6" t="s">
        <v>28</v>
      </c>
      <c r="H4" s="7">
        <v>817</v>
      </c>
      <c r="I4" s="8">
        <f t="shared" si="0"/>
        <v>817</v>
      </c>
    </row>
    <row r="5" spans="1:9">
      <c r="A5" s="51"/>
      <c r="B5" s="52"/>
      <c r="C5" s="53"/>
      <c r="D5" s="54"/>
      <c r="E5" s="55"/>
      <c r="F5" s="55"/>
      <c r="G5" s="6" t="s">
        <v>29</v>
      </c>
      <c r="H5" s="7">
        <v>1125</v>
      </c>
      <c r="I5" s="8" t="str">
        <f t="shared" si="0"/>
        <v>Descartado</v>
      </c>
    </row>
    <row r="6" spans="1:9">
      <c r="A6" s="51"/>
      <c r="B6" s="52"/>
      <c r="C6" s="53"/>
      <c r="D6" s="54"/>
      <c r="E6" s="55"/>
      <c r="F6" s="55"/>
      <c r="G6" s="6"/>
      <c r="H6" s="7"/>
      <c r="I6" s="8" t="str">
        <f t="shared" si="0"/>
        <v/>
      </c>
    </row>
    <row r="7" spans="1:9">
      <c r="A7" s="51"/>
      <c r="B7" s="52"/>
      <c r="C7" s="53"/>
      <c r="D7" s="54"/>
      <c r="E7" s="55"/>
      <c r="F7" s="55"/>
      <c r="G7" s="6"/>
      <c r="H7" s="7"/>
      <c r="I7" s="8" t="str">
        <f t="shared" si="0"/>
        <v/>
      </c>
    </row>
    <row r="8" spans="1:9">
      <c r="A8" s="51"/>
      <c r="B8" s="52"/>
      <c r="C8" s="53"/>
      <c r="D8" s="54"/>
      <c r="E8" s="55"/>
      <c r="F8" s="55"/>
      <c r="G8" s="6"/>
      <c r="H8" s="7"/>
      <c r="I8" s="8" t="str">
        <f t="shared" si="0"/>
        <v/>
      </c>
    </row>
    <row r="9" spans="1:9">
      <c r="A9" s="51"/>
      <c r="B9" s="52"/>
      <c r="C9" s="53"/>
      <c r="D9" s="54"/>
      <c r="E9" s="55"/>
      <c r="F9" s="55"/>
      <c r="G9" s="6"/>
      <c r="H9" s="7"/>
      <c r="I9" s="8" t="str">
        <f t="shared" si="0"/>
        <v/>
      </c>
    </row>
    <row r="10" spans="1:9">
      <c r="A10" s="51"/>
      <c r="B10" s="52"/>
      <c r="C10" s="53"/>
      <c r="D10" s="54"/>
      <c r="E10" s="55"/>
      <c r="F10" s="55"/>
      <c r="G10" s="6"/>
      <c r="H10" s="7"/>
      <c r="I10" s="8" t="str">
        <f t="shared" si="0"/>
        <v/>
      </c>
    </row>
    <row r="11" spans="1:9">
      <c r="A11" s="51"/>
      <c r="B11" s="52"/>
      <c r="C11" s="53"/>
      <c r="D11" s="54"/>
      <c r="E11" s="55"/>
      <c r="F11" s="55"/>
      <c r="G11" s="6"/>
      <c r="H11" s="7"/>
      <c r="I11" s="8" t="str">
        <f t="shared" si="0"/>
        <v/>
      </c>
    </row>
    <row r="12" spans="1:9">
      <c r="A12" s="51"/>
      <c r="B12" s="52"/>
      <c r="C12" s="53"/>
      <c r="D12" s="54"/>
      <c r="E12" s="55"/>
      <c r="F12" s="55"/>
      <c r="G12" s="6"/>
      <c r="H12" s="7"/>
      <c r="I12" s="8" t="str">
        <f t="shared" si="0"/>
        <v/>
      </c>
    </row>
    <row r="13" spans="1:9">
      <c r="A13" s="51"/>
      <c r="B13" s="52"/>
      <c r="C13" s="53"/>
      <c r="D13" s="54"/>
      <c r="E13" s="55"/>
      <c r="F13" s="55"/>
      <c r="G13" s="6"/>
      <c r="H13" s="7"/>
      <c r="I13" s="8" t="str">
        <f t="shared" si="0"/>
        <v/>
      </c>
    </row>
    <row r="14" spans="1:9">
      <c r="A14" s="51"/>
      <c r="B14" s="52"/>
      <c r="C14" s="53"/>
      <c r="D14" s="54"/>
      <c r="E14" s="55"/>
      <c r="F14" s="55"/>
      <c r="G14" s="6"/>
      <c r="H14" s="7"/>
      <c r="I14" s="8" t="str">
        <f t="shared" si="0"/>
        <v/>
      </c>
    </row>
    <row r="15" spans="1:9">
      <c r="A15" s="51"/>
      <c r="B15" s="52"/>
      <c r="C15" s="53"/>
      <c r="D15" s="54"/>
      <c r="E15" s="55"/>
      <c r="F15" s="55"/>
      <c r="G15" s="6"/>
      <c r="H15" s="7"/>
      <c r="I15" s="8" t="str">
        <f t="shared" si="0"/>
        <v/>
      </c>
    </row>
    <row r="16" spans="1:9">
      <c r="A16" s="51"/>
      <c r="B16" s="52"/>
      <c r="C16" s="53"/>
      <c r="D16" s="54"/>
      <c r="E16" s="55"/>
      <c r="F16" s="55"/>
      <c r="G16" s="6"/>
      <c r="H16" s="7"/>
      <c r="I16" s="8" t="str">
        <f t="shared" si="0"/>
        <v/>
      </c>
    </row>
    <row r="17" spans="1:11">
      <c r="A17" s="51"/>
      <c r="B17" s="52"/>
      <c r="C17" s="53"/>
      <c r="D17" s="54"/>
      <c r="E17" s="55"/>
      <c r="F17" s="55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9</v>
      </c>
      <c r="B19" s="5" t="s">
        <v>10</v>
      </c>
      <c r="C19" s="4" t="s">
        <v>11</v>
      </c>
      <c r="D19" s="16" t="s">
        <v>12</v>
      </c>
      <c r="E19" s="17" t="s">
        <v>13</v>
      </c>
      <c r="F19" s="16" t="s">
        <v>14</v>
      </c>
      <c r="G19" s="48" t="s">
        <v>15</v>
      </c>
      <c r="H19" s="48"/>
      <c r="I19" s="18"/>
    </row>
    <row r="20" spans="1:11">
      <c r="A20" s="19">
        <f>IF(B20&lt;2,"N/A",(STDEV(H3:H17)))</f>
        <v>220.56763890773564</v>
      </c>
      <c r="B20" s="19">
        <f>COUNT(H3:H17)</f>
        <v>3</v>
      </c>
      <c r="C20" s="20">
        <f>IF(B20&lt;2,"N/A",(A20/D20))</f>
        <v>0.25069347363437894</v>
      </c>
      <c r="D20" s="21">
        <f>ROUND(AVERAGE(H3:H17),2)</f>
        <v>879.83</v>
      </c>
      <c r="E20" s="22">
        <f>IFERROR(ROUND(IF(B20&lt;2,"N/A",(IF(C20&lt;=25%,"N/A",AVERAGE(I3:I17)))),2),"N/A")</f>
        <v>757.25</v>
      </c>
      <c r="F20" s="22">
        <f>ROUND(MEDIAN(H3:H17),2)</f>
        <v>817</v>
      </c>
      <c r="G20" s="23" t="str">
        <f>INDEX(G3:G17,MATCH(H20,H3:H17,0))</f>
        <v>NÃO ALTERE AS FÓRMULAS LTDA</v>
      </c>
      <c r="H20" s="24">
        <f>MIN(H3:H17)</f>
        <v>697.5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49"/>
      <c r="E22" s="49"/>
      <c r="F22" s="30"/>
      <c r="G22" s="31" t="s">
        <v>16</v>
      </c>
      <c r="H22" s="32">
        <f>IF(C20&lt;=25%,D20,MIN(E20:F20))</f>
        <v>757.25</v>
      </c>
    </row>
    <row r="23" spans="1:11">
      <c r="B23" s="25"/>
      <c r="C23" s="25"/>
      <c r="D23" s="49"/>
      <c r="E23" s="49"/>
      <c r="F23" s="33"/>
      <c r="G23" s="4" t="s">
        <v>17</v>
      </c>
      <c r="H23" s="24">
        <f>ROUND(H22,2)*D3</f>
        <v>7572.5</v>
      </c>
    </row>
    <row r="24" spans="1:11">
      <c r="B24" s="29"/>
      <c r="C24" s="29"/>
      <c r="D24" s="18"/>
      <c r="E24" s="18"/>
    </row>
    <row r="26" spans="1:11" ht="12.75" customHeight="1">
      <c r="A26" s="46" t="s">
        <v>18</v>
      </c>
      <c r="B26" s="46"/>
      <c r="C26" s="46"/>
      <c r="D26" s="46"/>
      <c r="E26" s="46"/>
      <c r="F26" s="46"/>
      <c r="G26" s="46"/>
      <c r="H26" s="46"/>
      <c r="I26" s="46"/>
    </row>
    <row r="27" spans="1:11" ht="12.75" customHeight="1">
      <c r="A27" s="46" t="s">
        <v>19</v>
      </c>
      <c r="B27" s="46"/>
      <c r="C27" s="46"/>
      <c r="D27" s="46"/>
      <c r="E27" s="46"/>
      <c r="F27" s="46"/>
      <c r="G27" s="46"/>
      <c r="H27" s="46"/>
      <c r="I27" s="46"/>
    </row>
    <row r="28" spans="1:11" ht="12.75" customHeight="1">
      <c r="A28" s="46" t="s">
        <v>20</v>
      </c>
      <c r="B28" s="46"/>
      <c r="C28" s="46"/>
      <c r="D28" s="46"/>
      <c r="E28" s="46"/>
      <c r="F28" s="46"/>
      <c r="G28" s="46"/>
      <c r="H28" s="46"/>
      <c r="I28" s="46"/>
    </row>
    <row r="29" spans="1:11" ht="12.75" customHeight="1">
      <c r="A29" s="46" t="s">
        <v>21</v>
      </c>
      <c r="B29" s="46"/>
      <c r="C29" s="46"/>
      <c r="D29" s="46"/>
      <c r="E29" s="46"/>
      <c r="F29" s="46"/>
      <c r="G29" s="46"/>
      <c r="H29" s="46"/>
      <c r="I29" s="46"/>
    </row>
    <row r="30" spans="1:11" ht="12.75" customHeight="1">
      <c r="A30" s="46" t="s">
        <v>22</v>
      </c>
      <c r="B30" s="46"/>
      <c r="C30" s="46"/>
      <c r="D30" s="46"/>
      <c r="E30" s="46"/>
      <c r="F30" s="46"/>
      <c r="G30" s="46"/>
      <c r="H30" s="46"/>
      <c r="I30" s="46"/>
    </row>
    <row r="31" spans="1:11" ht="12.75" customHeight="1">
      <c r="A31" s="46" t="s">
        <v>23</v>
      </c>
      <c r="B31" s="46"/>
      <c r="C31" s="46"/>
      <c r="D31" s="46"/>
      <c r="E31" s="46"/>
      <c r="F31" s="46"/>
      <c r="G31" s="46"/>
      <c r="H31" s="46"/>
      <c r="I31" s="46"/>
    </row>
    <row r="32" spans="1:11" ht="24.75" customHeight="1">
      <c r="A32" s="47" t="s">
        <v>24</v>
      </c>
      <c r="B32" s="47"/>
      <c r="C32" s="47"/>
      <c r="D32" s="47"/>
      <c r="E32" s="47"/>
      <c r="F32" s="47"/>
      <c r="G32" s="47"/>
      <c r="H32" s="47"/>
      <c r="I32" s="47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zoomScaleNormal="100" workbookViewId="0">
      <selection activeCell="A18" sqref="A18"/>
    </sheetView>
  </sheetViews>
  <sheetFormatPr defaultColWidth="9.140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1024" width="9.140625" style="1"/>
  </cols>
  <sheetData>
    <row r="1" spans="1:9" ht="15.75">
      <c r="A1" s="50" t="s">
        <v>0</v>
      </c>
      <c r="B1" s="50"/>
      <c r="C1" s="50"/>
      <c r="D1" s="50"/>
      <c r="E1" s="50"/>
      <c r="F1" s="50"/>
      <c r="G1" s="50"/>
      <c r="H1" s="50"/>
      <c r="I1" s="50"/>
    </row>
    <row r="2" spans="1:9" ht="25.5">
      <c r="A2" s="51" t="s">
        <v>42</v>
      </c>
      <c r="B2" s="2" t="s">
        <v>1</v>
      </c>
      <c r="C2" s="2" t="s">
        <v>2</v>
      </c>
      <c r="D2" s="2" t="s">
        <v>3</v>
      </c>
      <c r="E2" s="3" t="s">
        <v>4</v>
      </c>
      <c r="F2" s="3" t="s">
        <v>5</v>
      </c>
      <c r="G2" s="2" t="s">
        <v>6</v>
      </c>
      <c r="H2" s="4" t="s">
        <v>7</v>
      </c>
      <c r="I2" s="5" t="s">
        <v>8</v>
      </c>
    </row>
    <row r="3" spans="1:9" ht="12.75" customHeight="1">
      <c r="A3" s="51"/>
      <c r="B3" s="52" t="s">
        <v>26</v>
      </c>
      <c r="C3" s="53" t="s">
        <v>25</v>
      </c>
      <c r="D3" s="54">
        <v>10</v>
      </c>
      <c r="E3" s="55">
        <f>IF(C20&lt;=25%,D20,MIN(E20:F20))</f>
        <v>757.25</v>
      </c>
      <c r="F3" s="55">
        <f>MIN(H3:H17)</f>
        <v>697.5</v>
      </c>
      <c r="G3" s="6" t="s">
        <v>27</v>
      </c>
      <c r="H3" s="7">
        <v>697.5</v>
      </c>
      <c r="I3" s="8">
        <f t="shared" ref="I3:I17" si="0">IF(H3="","",(IF($C$20&lt;25%,"N/A",IF(H3&lt;=($D$20+$A$20),H3,"Descartado"))))</f>
        <v>697.5</v>
      </c>
    </row>
    <row r="4" spans="1:9">
      <c r="A4" s="51"/>
      <c r="B4" s="52"/>
      <c r="C4" s="53"/>
      <c r="D4" s="54"/>
      <c r="E4" s="55"/>
      <c r="F4" s="55"/>
      <c r="G4" s="6" t="s">
        <v>28</v>
      </c>
      <c r="H4" s="7">
        <v>817</v>
      </c>
      <c r="I4" s="8">
        <f t="shared" si="0"/>
        <v>817</v>
      </c>
    </row>
    <row r="5" spans="1:9">
      <c r="A5" s="51"/>
      <c r="B5" s="52"/>
      <c r="C5" s="53"/>
      <c r="D5" s="54"/>
      <c r="E5" s="55"/>
      <c r="F5" s="55"/>
      <c r="G5" s="6" t="s">
        <v>29</v>
      </c>
      <c r="H5" s="7">
        <v>1125</v>
      </c>
      <c r="I5" s="8" t="str">
        <f t="shared" si="0"/>
        <v>Descartado</v>
      </c>
    </row>
    <row r="6" spans="1:9">
      <c r="A6" s="51"/>
      <c r="B6" s="52"/>
      <c r="C6" s="53"/>
      <c r="D6" s="54"/>
      <c r="E6" s="55"/>
      <c r="F6" s="55"/>
      <c r="G6" s="6"/>
      <c r="H6" s="7"/>
      <c r="I6" s="8" t="str">
        <f t="shared" si="0"/>
        <v/>
      </c>
    </row>
    <row r="7" spans="1:9">
      <c r="A7" s="51"/>
      <c r="B7" s="52"/>
      <c r="C7" s="53"/>
      <c r="D7" s="54"/>
      <c r="E7" s="55"/>
      <c r="F7" s="55"/>
      <c r="G7" s="6"/>
      <c r="H7" s="7"/>
      <c r="I7" s="8" t="str">
        <f t="shared" si="0"/>
        <v/>
      </c>
    </row>
    <row r="8" spans="1:9">
      <c r="A8" s="51"/>
      <c r="B8" s="52"/>
      <c r="C8" s="53"/>
      <c r="D8" s="54"/>
      <c r="E8" s="55"/>
      <c r="F8" s="55"/>
      <c r="G8" s="6"/>
      <c r="H8" s="7"/>
      <c r="I8" s="8" t="str">
        <f t="shared" si="0"/>
        <v/>
      </c>
    </row>
    <row r="9" spans="1:9">
      <c r="A9" s="51"/>
      <c r="B9" s="52"/>
      <c r="C9" s="53"/>
      <c r="D9" s="54"/>
      <c r="E9" s="55"/>
      <c r="F9" s="55"/>
      <c r="G9" s="6"/>
      <c r="H9" s="7"/>
      <c r="I9" s="8" t="str">
        <f t="shared" si="0"/>
        <v/>
      </c>
    </row>
    <row r="10" spans="1:9">
      <c r="A10" s="51"/>
      <c r="B10" s="52"/>
      <c r="C10" s="53"/>
      <c r="D10" s="54"/>
      <c r="E10" s="55"/>
      <c r="F10" s="55"/>
      <c r="G10" s="6"/>
      <c r="H10" s="7"/>
      <c r="I10" s="8" t="str">
        <f t="shared" si="0"/>
        <v/>
      </c>
    </row>
    <row r="11" spans="1:9">
      <c r="A11" s="51"/>
      <c r="B11" s="52"/>
      <c r="C11" s="53"/>
      <c r="D11" s="54"/>
      <c r="E11" s="55"/>
      <c r="F11" s="55"/>
      <c r="G11" s="6"/>
      <c r="H11" s="7"/>
      <c r="I11" s="8" t="str">
        <f t="shared" si="0"/>
        <v/>
      </c>
    </row>
    <row r="12" spans="1:9">
      <c r="A12" s="51"/>
      <c r="B12" s="52"/>
      <c r="C12" s="53"/>
      <c r="D12" s="54"/>
      <c r="E12" s="55"/>
      <c r="F12" s="55"/>
      <c r="G12" s="6"/>
      <c r="H12" s="7"/>
      <c r="I12" s="8" t="str">
        <f t="shared" si="0"/>
        <v/>
      </c>
    </row>
    <row r="13" spans="1:9">
      <c r="A13" s="51"/>
      <c r="B13" s="52"/>
      <c r="C13" s="53"/>
      <c r="D13" s="54"/>
      <c r="E13" s="55"/>
      <c r="F13" s="55"/>
      <c r="G13" s="6"/>
      <c r="H13" s="7"/>
      <c r="I13" s="8" t="str">
        <f t="shared" si="0"/>
        <v/>
      </c>
    </row>
    <row r="14" spans="1:9">
      <c r="A14" s="51"/>
      <c r="B14" s="52"/>
      <c r="C14" s="53"/>
      <c r="D14" s="54"/>
      <c r="E14" s="55"/>
      <c r="F14" s="55"/>
      <c r="G14" s="6"/>
      <c r="H14" s="7"/>
      <c r="I14" s="8" t="str">
        <f t="shared" si="0"/>
        <v/>
      </c>
    </row>
    <row r="15" spans="1:9">
      <c r="A15" s="51"/>
      <c r="B15" s="52"/>
      <c r="C15" s="53"/>
      <c r="D15" s="54"/>
      <c r="E15" s="55"/>
      <c r="F15" s="55"/>
      <c r="G15" s="6"/>
      <c r="H15" s="7"/>
      <c r="I15" s="8" t="str">
        <f t="shared" si="0"/>
        <v/>
      </c>
    </row>
    <row r="16" spans="1:9">
      <c r="A16" s="51"/>
      <c r="B16" s="52"/>
      <c r="C16" s="53"/>
      <c r="D16" s="54"/>
      <c r="E16" s="55"/>
      <c r="F16" s="55"/>
      <c r="G16" s="6"/>
      <c r="H16" s="7"/>
      <c r="I16" s="8" t="str">
        <f t="shared" si="0"/>
        <v/>
      </c>
    </row>
    <row r="17" spans="1:11">
      <c r="A17" s="51"/>
      <c r="B17" s="52"/>
      <c r="C17" s="53"/>
      <c r="D17" s="54"/>
      <c r="E17" s="55"/>
      <c r="F17" s="55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9</v>
      </c>
      <c r="B19" s="5" t="s">
        <v>10</v>
      </c>
      <c r="C19" s="4" t="s">
        <v>11</v>
      </c>
      <c r="D19" s="16" t="s">
        <v>12</v>
      </c>
      <c r="E19" s="17" t="s">
        <v>13</v>
      </c>
      <c r="F19" s="16" t="s">
        <v>14</v>
      </c>
      <c r="G19" s="48" t="s">
        <v>15</v>
      </c>
      <c r="H19" s="48"/>
      <c r="I19" s="18"/>
    </row>
    <row r="20" spans="1:11">
      <c r="A20" s="19">
        <f>IF(B20&lt;2,"N/A",(STDEV(H3:H17)))</f>
        <v>220.56763890773564</v>
      </c>
      <c r="B20" s="19">
        <f>COUNT(H3:H17)</f>
        <v>3</v>
      </c>
      <c r="C20" s="20">
        <f>IF(B20&lt;2,"N/A",(A20/D20))</f>
        <v>0.25069347363437894</v>
      </c>
      <c r="D20" s="21">
        <f>ROUND(AVERAGE(H3:H17),2)</f>
        <v>879.83</v>
      </c>
      <c r="E20" s="22">
        <f>IFERROR(ROUND(IF(B20&lt;2,"N/A",(IF(C20&lt;=25%,"N/A",AVERAGE(I3:I17)))),2),"N/A")</f>
        <v>757.25</v>
      </c>
      <c r="F20" s="22">
        <f>ROUND(MEDIAN(H3:H17),2)</f>
        <v>817</v>
      </c>
      <c r="G20" s="23" t="str">
        <f>INDEX(G3:G17,MATCH(H20,H3:H17,0))</f>
        <v>NÃO ALTERE AS FÓRMULAS LTDA</v>
      </c>
      <c r="H20" s="24">
        <f>MIN(H3:H17)</f>
        <v>697.5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49"/>
      <c r="E22" s="49"/>
      <c r="F22" s="30"/>
      <c r="G22" s="31" t="s">
        <v>16</v>
      </c>
      <c r="H22" s="32">
        <f>IF(C20&lt;=25%,D20,MIN(E20:F20))</f>
        <v>757.25</v>
      </c>
    </row>
    <row r="23" spans="1:11">
      <c r="B23" s="25"/>
      <c r="C23" s="25"/>
      <c r="D23" s="49"/>
      <c r="E23" s="49"/>
      <c r="F23" s="33"/>
      <c r="G23" s="4" t="s">
        <v>17</v>
      </c>
      <c r="H23" s="24">
        <f>ROUND(H22,2)*D3</f>
        <v>7572.5</v>
      </c>
    </row>
    <row r="24" spans="1:11">
      <c r="B24" s="29"/>
      <c r="C24" s="29"/>
      <c r="D24" s="18"/>
      <c r="E24" s="18"/>
    </row>
    <row r="26" spans="1:11" ht="12.75" customHeight="1">
      <c r="A26" s="46" t="s">
        <v>18</v>
      </c>
      <c r="B26" s="46"/>
      <c r="C26" s="46"/>
      <c r="D26" s="46"/>
      <c r="E26" s="46"/>
      <c r="F26" s="46"/>
      <c r="G26" s="46"/>
      <c r="H26" s="46"/>
      <c r="I26" s="46"/>
    </row>
    <row r="27" spans="1:11" ht="12.75" customHeight="1">
      <c r="A27" s="46" t="s">
        <v>19</v>
      </c>
      <c r="B27" s="46"/>
      <c r="C27" s="46"/>
      <c r="D27" s="46"/>
      <c r="E27" s="46"/>
      <c r="F27" s="46"/>
      <c r="G27" s="46"/>
      <c r="H27" s="46"/>
      <c r="I27" s="46"/>
    </row>
    <row r="28" spans="1:11" ht="12.75" customHeight="1">
      <c r="A28" s="46" t="s">
        <v>20</v>
      </c>
      <c r="B28" s="46"/>
      <c r="C28" s="46"/>
      <c r="D28" s="46"/>
      <c r="E28" s="46"/>
      <c r="F28" s="46"/>
      <c r="G28" s="46"/>
      <c r="H28" s="46"/>
      <c r="I28" s="46"/>
    </row>
    <row r="29" spans="1:11" ht="12.75" customHeight="1">
      <c r="A29" s="46" t="s">
        <v>21</v>
      </c>
      <c r="B29" s="46"/>
      <c r="C29" s="46"/>
      <c r="D29" s="46"/>
      <c r="E29" s="46"/>
      <c r="F29" s="46"/>
      <c r="G29" s="46"/>
      <c r="H29" s="46"/>
      <c r="I29" s="46"/>
    </row>
    <row r="30" spans="1:11" ht="12.75" customHeight="1">
      <c r="A30" s="46" t="s">
        <v>22</v>
      </c>
      <c r="B30" s="46"/>
      <c r="C30" s="46"/>
      <c r="D30" s="46"/>
      <c r="E30" s="46"/>
      <c r="F30" s="46"/>
      <c r="G30" s="46"/>
      <c r="H30" s="46"/>
      <c r="I30" s="46"/>
    </row>
    <row r="31" spans="1:11" ht="12.75" customHeight="1">
      <c r="A31" s="46" t="s">
        <v>23</v>
      </c>
      <c r="B31" s="46"/>
      <c r="C31" s="46"/>
      <c r="D31" s="46"/>
      <c r="E31" s="46"/>
      <c r="F31" s="46"/>
      <c r="G31" s="46"/>
      <c r="H31" s="46"/>
      <c r="I31" s="46"/>
    </row>
    <row r="32" spans="1:11" ht="24.75" customHeight="1">
      <c r="A32" s="47" t="s">
        <v>24</v>
      </c>
      <c r="B32" s="47"/>
      <c r="C32" s="47"/>
      <c r="D32" s="47"/>
      <c r="E32" s="47"/>
      <c r="F32" s="47"/>
      <c r="G32" s="47"/>
      <c r="H32" s="47"/>
      <c r="I32" s="47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zoomScaleNormal="100" workbookViewId="0">
      <selection activeCell="A18" sqref="A18"/>
    </sheetView>
  </sheetViews>
  <sheetFormatPr defaultColWidth="9.140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1024" width="9.140625" style="1"/>
  </cols>
  <sheetData>
    <row r="1" spans="1:9" ht="15.75">
      <c r="A1" s="50" t="s">
        <v>0</v>
      </c>
      <c r="B1" s="50"/>
      <c r="C1" s="50"/>
      <c r="D1" s="50"/>
      <c r="E1" s="50"/>
      <c r="F1" s="50"/>
      <c r="G1" s="50"/>
      <c r="H1" s="50"/>
      <c r="I1" s="50"/>
    </row>
    <row r="2" spans="1:9" ht="25.5">
      <c r="A2" s="51" t="s">
        <v>43</v>
      </c>
      <c r="B2" s="2" t="s">
        <v>1</v>
      </c>
      <c r="C2" s="2" t="s">
        <v>2</v>
      </c>
      <c r="D2" s="2" t="s">
        <v>3</v>
      </c>
      <c r="E2" s="3" t="s">
        <v>4</v>
      </c>
      <c r="F2" s="3" t="s">
        <v>5</v>
      </c>
      <c r="G2" s="2" t="s">
        <v>6</v>
      </c>
      <c r="H2" s="4" t="s">
        <v>7</v>
      </c>
      <c r="I2" s="5" t="s">
        <v>8</v>
      </c>
    </row>
    <row r="3" spans="1:9" ht="12.75" customHeight="1">
      <c r="A3" s="51"/>
      <c r="B3" s="52" t="s">
        <v>26</v>
      </c>
      <c r="C3" s="53" t="s">
        <v>25</v>
      </c>
      <c r="D3" s="54">
        <v>10</v>
      </c>
      <c r="E3" s="55">
        <f>IF(C20&lt;=25%,D20,MIN(E20:F20))</f>
        <v>757.25</v>
      </c>
      <c r="F3" s="55">
        <f>MIN(H3:H17)</f>
        <v>697.5</v>
      </c>
      <c r="G3" s="6" t="s">
        <v>27</v>
      </c>
      <c r="H3" s="7">
        <v>697.5</v>
      </c>
      <c r="I3" s="8">
        <f t="shared" ref="I3:I17" si="0">IF(H3="","",(IF($C$20&lt;25%,"N/A",IF(H3&lt;=($D$20+$A$20),H3,"Descartado"))))</f>
        <v>697.5</v>
      </c>
    </row>
    <row r="4" spans="1:9">
      <c r="A4" s="51"/>
      <c r="B4" s="52"/>
      <c r="C4" s="53"/>
      <c r="D4" s="54"/>
      <c r="E4" s="55"/>
      <c r="F4" s="55"/>
      <c r="G4" s="6" t="s">
        <v>28</v>
      </c>
      <c r="H4" s="7">
        <v>817</v>
      </c>
      <c r="I4" s="8">
        <f t="shared" si="0"/>
        <v>817</v>
      </c>
    </row>
    <row r="5" spans="1:9">
      <c r="A5" s="51"/>
      <c r="B5" s="52"/>
      <c r="C5" s="53"/>
      <c r="D5" s="54"/>
      <c r="E5" s="55"/>
      <c r="F5" s="55"/>
      <c r="G5" s="6" t="s">
        <v>29</v>
      </c>
      <c r="H5" s="7">
        <v>1125</v>
      </c>
      <c r="I5" s="8" t="str">
        <f t="shared" si="0"/>
        <v>Descartado</v>
      </c>
    </row>
    <row r="6" spans="1:9">
      <c r="A6" s="51"/>
      <c r="B6" s="52"/>
      <c r="C6" s="53"/>
      <c r="D6" s="54"/>
      <c r="E6" s="55"/>
      <c r="F6" s="55"/>
      <c r="G6" s="6"/>
      <c r="H6" s="7"/>
      <c r="I6" s="8" t="str">
        <f t="shared" si="0"/>
        <v/>
      </c>
    </row>
    <row r="7" spans="1:9">
      <c r="A7" s="51"/>
      <c r="B7" s="52"/>
      <c r="C7" s="53"/>
      <c r="D7" s="54"/>
      <c r="E7" s="55"/>
      <c r="F7" s="55"/>
      <c r="G7" s="6"/>
      <c r="H7" s="7"/>
      <c r="I7" s="8" t="str">
        <f t="shared" si="0"/>
        <v/>
      </c>
    </row>
    <row r="8" spans="1:9">
      <c r="A8" s="51"/>
      <c r="B8" s="52"/>
      <c r="C8" s="53"/>
      <c r="D8" s="54"/>
      <c r="E8" s="55"/>
      <c r="F8" s="55"/>
      <c r="G8" s="6"/>
      <c r="H8" s="7"/>
      <c r="I8" s="8" t="str">
        <f t="shared" si="0"/>
        <v/>
      </c>
    </row>
    <row r="9" spans="1:9">
      <c r="A9" s="51"/>
      <c r="B9" s="52"/>
      <c r="C9" s="53"/>
      <c r="D9" s="54"/>
      <c r="E9" s="55"/>
      <c r="F9" s="55"/>
      <c r="G9" s="6"/>
      <c r="H9" s="7"/>
      <c r="I9" s="8" t="str">
        <f t="shared" si="0"/>
        <v/>
      </c>
    </row>
    <row r="10" spans="1:9">
      <c r="A10" s="51"/>
      <c r="B10" s="52"/>
      <c r="C10" s="53"/>
      <c r="D10" s="54"/>
      <c r="E10" s="55"/>
      <c r="F10" s="55"/>
      <c r="G10" s="6"/>
      <c r="H10" s="7"/>
      <c r="I10" s="8" t="str">
        <f t="shared" si="0"/>
        <v/>
      </c>
    </row>
    <row r="11" spans="1:9">
      <c r="A11" s="51"/>
      <c r="B11" s="52"/>
      <c r="C11" s="53"/>
      <c r="D11" s="54"/>
      <c r="E11" s="55"/>
      <c r="F11" s="55"/>
      <c r="G11" s="6"/>
      <c r="H11" s="7"/>
      <c r="I11" s="8" t="str">
        <f t="shared" si="0"/>
        <v/>
      </c>
    </row>
    <row r="12" spans="1:9">
      <c r="A12" s="51"/>
      <c r="B12" s="52"/>
      <c r="C12" s="53"/>
      <c r="D12" s="54"/>
      <c r="E12" s="55"/>
      <c r="F12" s="55"/>
      <c r="G12" s="6"/>
      <c r="H12" s="7"/>
      <c r="I12" s="8" t="str">
        <f t="shared" si="0"/>
        <v/>
      </c>
    </row>
    <row r="13" spans="1:9">
      <c r="A13" s="51"/>
      <c r="B13" s="52"/>
      <c r="C13" s="53"/>
      <c r="D13" s="54"/>
      <c r="E13" s="55"/>
      <c r="F13" s="55"/>
      <c r="G13" s="6"/>
      <c r="H13" s="7"/>
      <c r="I13" s="8" t="str">
        <f t="shared" si="0"/>
        <v/>
      </c>
    </row>
    <row r="14" spans="1:9">
      <c r="A14" s="51"/>
      <c r="B14" s="52"/>
      <c r="C14" s="53"/>
      <c r="D14" s="54"/>
      <c r="E14" s="55"/>
      <c r="F14" s="55"/>
      <c r="G14" s="6"/>
      <c r="H14" s="7"/>
      <c r="I14" s="8" t="str">
        <f t="shared" si="0"/>
        <v/>
      </c>
    </row>
    <row r="15" spans="1:9">
      <c r="A15" s="51"/>
      <c r="B15" s="52"/>
      <c r="C15" s="53"/>
      <c r="D15" s="54"/>
      <c r="E15" s="55"/>
      <c r="F15" s="55"/>
      <c r="G15" s="6"/>
      <c r="H15" s="7"/>
      <c r="I15" s="8" t="str">
        <f t="shared" si="0"/>
        <v/>
      </c>
    </row>
    <row r="16" spans="1:9">
      <c r="A16" s="51"/>
      <c r="B16" s="52"/>
      <c r="C16" s="53"/>
      <c r="D16" s="54"/>
      <c r="E16" s="55"/>
      <c r="F16" s="55"/>
      <c r="G16" s="6"/>
      <c r="H16" s="7"/>
      <c r="I16" s="8" t="str">
        <f t="shared" si="0"/>
        <v/>
      </c>
    </row>
    <row r="17" spans="1:11">
      <c r="A17" s="51"/>
      <c r="B17" s="52"/>
      <c r="C17" s="53"/>
      <c r="D17" s="54"/>
      <c r="E17" s="55"/>
      <c r="F17" s="55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9</v>
      </c>
      <c r="B19" s="5" t="s">
        <v>10</v>
      </c>
      <c r="C19" s="4" t="s">
        <v>11</v>
      </c>
      <c r="D19" s="16" t="s">
        <v>12</v>
      </c>
      <c r="E19" s="17" t="s">
        <v>13</v>
      </c>
      <c r="F19" s="16" t="s">
        <v>14</v>
      </c>
      <c r="G19" s="48" t="s">
        <v>15</v>
      </c>
      <c r="H19" s="48"/>
      <c r="I19" s="18"/>
    </row>
    <row r="20" spans="1:11">
      <c r="A20" s="19">
        <f>IF(B20&lt;2,"N/A",(STDEV(H3:H17)))</f>
        <v>220.56763890773564</v>
      </c>
      <c r="B20" s="19">
        <f>COUNT(H3:H17)</f>
        <v>3</v>
      </c>
      <c r="C20" s="20">
        <f>IF(B20&lt;2,"N/A",(A20/D20))</f>
        <v>0.25069347363437894</v>
      </c>
      <c r="D20" s="21">
        <f>ROUND(AVERAGE(H3:H17),2)</f>
        <v>879.83</v>
      </c>
      <c r="E20" s="22">
        <f>IFERROR(ROUND(IF(B20&lt;2,"N/A",(IF(C20&lt;=25%,"N/A",AVERAGE(I3:I17)))),2),"N/A")</f>
        <v>757.25</v>
      </c>
      <c r="F20" s="22">
        <f>ROUND(MEDIAN(H3:H17),2)</f>
        <v>817</v>
      </c>
      <c r="G20" s="23" t="str">
        <f>INDEX(G3:G17,MATCH(H20,H3:H17,0))</f>
        <v>NÃO ALTERE AS FÓRMULAS LTDA</v>
      </c>
      <c r="H20" s="24">
        <f>MIN(H3:H17)</f>
        <v>697.5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49"/>
      <c r="E22" s="49"/>
      <c r="F22" s="30"/>
      <c r="G22" s="31" t="s">
        <v>16</v>
      </c>
      <c r="H22" s="32">
        <f>IF(C20&lt;=25%,D20,MIN(E20:F20))</f>
        <v>757.25</v>
      </c>
    </row>
    <row r="23" spans="1:11">
      <c r="B23" s="25"/>
      <c r="C23" s="25"/>
      <c r="D23" s="49"/>
      <c r="E23" s="49"/>
      <c r="F23" s="33"/>
      <c r="G23" s="4" t="s">
        <v>17</v>
      </c>
      <c r="H23" s="24">
        <f>ROUND(H22,2)*D3</f>
        <v>7572.5</v>
      </c>
    </row>
    <row r="24" spans="1:11">
      <c r="B24" s="29"/>
      <c r="C24" s="29"/>
      <c r="D24" s="18"/>
      <c r="E24" s="18"/>
    </row>
    <row r="26" spans="1:11" ht="12.75" customHeight="1">
      <c r="A26" s="46" t="s">
        <v>18</v>
      </c>
      <c r="B26" s="46"/>
      <c r="C26" s="46"/>
      <c r="D26" s="46"/>
      <c r="E26" s="46"/>
      <c r="F26" s="46"/>
      <c r="G26" s="46"/>
      <c r="H26" s="46"/>
      <c r="I26" s="46"/>
    </row>
    <row r="27" spans="1:11" ht="12.75" customHeight="1">
      <c r="A27" s="46" t="s">
        <v>19</v>
      </c>
      <c r="B27" s="46"/>
      <c r="C27" s="46"/>
      <c r="D27" s="46"/>
      <c r="E27" s="46"/>
      <c r="F27" s="46"/>
      <c r="G27" s="46"/>
      <c r="H27" s="46"/>
      <c r="I27" s="46"/>
    </row>
    <row r="28" spans="1:11" ht="12.75" customHeight="1">
      <c r="A28" s="46" t="s">
        <v>20</v>
      </c>
      <c r="B28" s="46"/>
      <c r="C28" s="46"/>
      <c r="D28" s="46"/>
      <c r="E28" s="46"/>
      <c r="F28" s="46"/>
      <c r="G28" s="46"/>
      <c r="H28" s="46"/>
      <c r="I28" s="46"/>
    </row>
    <row r="29" spans="1:11" ht="12.75" customHeight="1">
      <c r="A29" s="46" t="s">
        <v>21</v>
      </c>
      <c r="B29" s="46"/>
      <c r="C29" s="46"/>
      <c r="D29" s="46"/>
      <c r="E29" s="46"/>
      <c r="F29" s="46"/>
      <c r="G29" s="46"/>
      <c r="H29" s="46"/>
      <c r="I29" s="46"/>
    </row>
    <row r="30" spans="1:11" ht="12.75" customHeight="1">
      <c r="A30" s="46" t="s">
        <v>22</v>
      </c>
      <c r="B30" s="46"/>
      <c r="C30" s="46"/>
      <c r="D30" s="46"/>
      <c r="E30" s="46"/>
      <c r="F30" s="46"/>
      <c r="G30" s="46"/>
      <c r="H30" s="46"/>
      <c r="I30" s="46"/>
    </row>
    <row r="31" spans="1:11" ht="12.75" customHeight="1">
      <c r="A31" s="46" t="s">
        <v>23</v>
      </c>
      <c r="B31" s="46"/>
      <c r="C31" s="46"/>
      <c r="D31" s="46"/>
      <c r="E31" s="46"/>
      <c r="F31" s="46"/>
      <c r="G31" s="46"/>
      <c r="H31" s="46"/>
      <c r="I31" s="46"/>
    </row>
    <row r="32" spans="1:11" ht="24.75" customHeight="1">
      <c r="A32" s="47" t="s">
        <v>24</v>
      </c>
      <c r="B32" s="47"/>
      <c r="C32" s="47"/>
      <c r="D32" s="47"/>
      <c r="E32" s="47"/>
      <c r="F32" s="47"/>
      <c r="G32" s="47"/>
      <c r="H32" s="47"/>
      <c r="I32" s="47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zoomScaleNormal="100" workbookViewId="0">
      <selection activeCell="A18" sqref="A18"/>
    </sheetView>
  </sheetViews>
  <sheetFormatPr defaultColWidth="9.140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1024" width="9.140625" style="1"/>
  </cols>
  <sheetData>
    <row r="1" spans="1:9" ht="15.75">
      <c r="A1" s="50" t="s">
        <v>0</v>
      </c>
      <c r="B1" s="50"/>
      <c r="C1" s="50"/>
      <c r="D1" s="50"/>
      <c r="E1" s="50"/>
      <c r="F1" s="50"/>
      <c r="G1" s="50"/>
      <c r="H1" s="50"/>
      <c r="I1" s="50"/>
    </row>
    <row r="2" spans="1:9" ht="25.5">
      <c r="A2" s="51" t="s">
        <v>44</v>
      </c>
      <c r="B2" s="2" t="s">
        <v>1</v>
      </c>
      <c r="C2" s="2" t="s">
        <v>2</v>
      </c>
      <c r="D2" s="2" t="s">
        <v>3</v>
      </c>
      <c r="E2" s="3" t="s">
        <v>4</v>
      </c>
      <c r="F2" s="3" t="s">
        <v>5</v>
      </c>
      <c r="G2" s="2" t="s">
        <v>6</v>
      </c>
      <c r="H2" s="4" t="s">
        <v>7</v>
      </c>
      <c r="I2" s="5" t="s">
        <v>8</v>
      </c>
    </row>
    <row r="3" spans="1:9" ht="12.75" customHeight="1">
      <c r="A3" s="51"/>
      <c r="B3" s="52" t="s">
        <v>26</v>
      </c>
      <c r="C3" s="53" t="s">
        <v>25</v>
      </c>
      <c r="D3" s="54">
        <v>10</v>
      </c>
      <c r="E3" s="55">
        <f>IF(C20&lt;=25%,D20,MIN(E20:F20))</f>
        <v>757.25</v>
      </c>
      <c r="F3" s="55">
        <f>MIN(H3:H17)</f>
        <v>697.5</v>
      </c>
      <c r="G3" s="6" t="s">
        <v>27</v>
      </c>
      <c r="H3" s="7">
        <v>697.5</v>
      </c>
      <c r="I3" s="8">
        <f t="shared" ref="I3:I17" si="0">IF(H3="","",(IF($C$20&lt;25%,"N/A",IF(H3&lt;=($D$20+$A$20),H3,"Descartado"))))</f>
        <v>697.5</v>
      </c>
    </row>
    <row r="4" spans="1:9">
      <c r="A4" s="51"/>
      <c r="B4" s="52"/>
      <c r="C4" s="53"/>
      <c r="D4" s="54"/>
      <c r="E4" s="55"/>
      <c r="F4" s="55"/>
      <c r="G4" s="6" t="s">
        <v>28</v>
      </c>
      <c r="H4" s="7">
        <v>817</v>
      </c>
      <c r="I4" s="8">
        <f t="shared" si="0"/>
        <v>817</v>
      </c>
    </row>
    <row r="5" spans="1:9">
      <c r="A5" s="51"/>
      <c r="B5" s="52"/>
      <c r="C5" s="53"/>
      <c r="D5" s="54"/>
      <c r="E5" s="55"/>
      <c r="F5" s="55"/>
      <c r="G5" s="6" t="s">
        <v>29</v>
      </c>
      <c r="H5" s="7">
        <v>1125</v>
      </c>
      <c r="I5" s="8" t="str">
        <f t="shared" si="0"/>
        <v>Descartado</v>
      </c>
    </row>
    <row r="6" spans="1:9">
      <c r="A6" s="51"/>
      <c r="B6" s="52"/>
      <c r="C6" s="53"/>
      <c r="D6" s="54"/>
      <c r="E6" s="55"/>
      <c r="F6" s="55"/>
      <c r="G6" s="6"/>
      <c r="H6" s="7"/>
      <c r="I6" s="8" t="str">
        <f t="shared" si="0"/>
        <v/>
      </c>
    </row>
    <row r="7" spans="1:9">
      <c r="A7" s="51"/>
      <c r="B7" s="52"/>
      <c r="C7" s="53"/>
      <c r="D7" s="54"/>
      <c r="E7" s="55"/>
      <c r="F7" s="55"/>
      <c r="G7" s="6"/>
      <c r="H7" s="7"/>
      <c r="I7" s="8" t="str">
        <f t="shared" si="0"/>
        <v/>
      </c>
    </row>
    <row r="8" spans="1:9">
      <c r="A8" s="51"/>
      <c r="B8" s="52"/>
      <c r="C8" s="53"/>
      <c r="D8" s="54"/>
      <c r="E8" s="55"/>
      <c r="F8" s="55"/>
      <c r="G8" s="6"/>
      <c r="H8" s="7"/>
      <c r="I8" s="8" t="str">
        <f t="shared" si="0"/>
        <v/>
      </c>
    </row>
    <row r="9" spans="1:9">
      <c r="A9" s="51"/>
      <c r="B9" s="52"/>
      <c r="C9" s="53"/>
      <c r="D9" s="54"/>
      <c r="E9" s="55"/>
      <c r="F9" s="55"/>
      <c r="G9" s="6"/>
      <c r="H9" s="7"/>
      <c r="I9" s="8" t="str">
        <f t="shared" si="0"/>
        <v/>
      </c>
    </row>
    <row r="10" spans="1:9">
      <c r="A10" s="51"/>
      <c r="B10" s="52"/>
      <c r="C10" s="53"/>
      <c r="D10" s="54"/>
      <c r="E10" s="55"/>
      <c r="F10" s="55"/>
      <c r="G10" s="6"/>
      <c r="H10" s="7"/>
      <c r="I10" s="8" t="str">
        <f t="shared" si="0"/>
        <v/>
      </c>
    </row>
    <row r="11" spans="1:9">
      <c r="A11" s="51"/>
      <c r="B11" s="52"/>
      <c r="C11" s="53"/>
      <c r="D11" s="54"/>
      <c r="E11" s="55"/>
      <c r="F11" s="55"/>
      <c r="G11" s="6"/>
      <c r="H11" s="7"/>
      <c r="I11" s="8" t="str">
        <f t="shared" si="0"/>
        <v/>
      </c>
    </row>
    <row r="12" spans="1:9">
      <c r="A12" s="51"/>
      <c r="B12" s="52"/>
      <c r="C12" s="53"/>
      <c r="D12" s="54"/>
      <c r="E12" s="55"/>
      <c r="F12" s="55"/>
      <c r="G12" s="6"/>
      <c r="H12" s="7"/>
      <c r="I12" s="8" t="str">
        <f t="shared" si="0"/>
        <v/>
      </c>
    </row>
    <row r="13" spans="1:9">
      <c r="A13" s="51"/>
      <c r="B13" s="52"/>
      <c r="C13" s="53"/>
      <c r="D13" s="54"/>
      <c r="E13" s="55"/>
      <c r="F13" s="55"/>
      <c r="G13" s="6"/>
      <c r="H13" s="7"/>
      <c r="I13" s="8" t="str">
        <f t="shared" si="0"/>
        <v/>
      </c>
    </row>
    <row r="14" spans="1:9">
      <c r="A14" s="51"/>
      <c r="B14" s="52"/>
      <c r="C14" s="53"/>
      <c r="D14" s="54"/>
      <c r="E14" s="55"/>
      <c r="F14" s="55"/>
      <c r="G14" s="6"/>
      <c r="H14" s="7"/>
      <c r="I14" s="8" t="str">
        <f t="shared" si="0"/>
        <v/>
      </c>
    </row>
    <row r="15" spans="1:9">
      <c r="A15" s="51"/>
      <c r="B15" s="52"/>
      <c r="C15" s="53"/>
      <c r="D15" s="54"/>
      <c r="E15" s="55"/>
      <c r="F15" s="55"/>
      <c r="G15" s="6"/>
      <c r="H15" s="7"/>
      <c r="I15" s="8" t="str">
        <f t="shared" si="0"/>
        <v/>
      </c>
    </row>
    <row r="16" spans="1:9">
      <c r="A16" s="51"/>
      <c r="B16" s="52"/>
      <c r="C16" s="53"/>
      <c r="D16" s="54"/>
      <c r="E16" s="55"/>
      <c r="F16" s="55"/>
      <c r="G16" s="6"/>
      <c r="H16" s="7"/>
      <c r="I16" s="8" t="str">
        <f t="shared" si="0"/>
        <v/>
      </c>
    </row>
    <row r="17" spans="1:11">
      <c r="A17" s="51"/>
      <c r="B17" s="52"/>
      <c r="C17" s="53"/>
      <c r="D17" s="54"/>
      <c r="E17" s="55"/>
      <c r="F17" s="55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9</v>
      </c>
      <c r="B19" s="5" t="s">
        <v>10</v>
      </c>
      <c r="C19" s="4" t="s">
        <v>11</v>
      </c>
      <c r="D19" s="16" t="s">
        <v>12</v>
      </c>
      <c r="E19" s="17" t="s">
        <v>13</v>
      </c>
      <c r="F19" s="16" t="s">
        <v>14</v>
      </c>
      <c r="G19" s="48" t="s">
        <v>15</v>
      </c>
      <c r="H19" s="48"/>
      <c r="I19" s="18"/>
    </row>
    <row r="20" spans="1:11">
      <c r="A20" s="19">
        <f>IF(B20&lt;2,"N/A",(STDEV(H3:H17)))</f>
        <v>220.56763890773564</v>
      </c>
      <c r="B20" s="19">
        <f>COUNT(H3:H17)</f>
        <v>3</v>
      </c>
      <c r="C20" s="20">
        <f>IF(B20&lt;2,"N/A",(A20/D20))</f>
        <v>0.25069347363437894</v>
      </c>
      <c r="D20" s="21">
        <f>ROUND(AVERAGE(H3:H17),2)</f>
        <v>879.83</v>
      </c>
      <c r="E20" s="22">
        <f>IFERROR(ROUND(IF(B20&lt;2,"N/A",(IF(C20&lt;=25%,"N/A",AVERAGE(I3:I17)))),2),"N/A")</f>
        <v>757.25</v>
      </c>
      <c r="F20" s="22">
        <f>ROUND(MEDIAN(H3:H17),2)</f>
        <v>817</v>
      </c>
      <c r="G20" s="23" t="str">
        <f>INDEX(G3:G17,MATCH(H20,H3:H17,0))</f>
        <v>NÃO ALTERE AS FÓRMULAS LTDA</v>
      </c>
      <c r="H20" s="24">
        <f>MIN(H3:H17)</f>
        <v>697.5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49"/>
      <c r="E22" s="49"/>
      <c r="F22" s="30"/>
      <c r="G22" s="31" t="s">
        <v>16</v>
      </c>
      <c r="H22" s="32">
        <f>IF(C20&lt;=25%,D20,MIN(E20:F20))</f>
        <v>757.25</v>
      </c>
    </row>
    <row r="23" spans="1:11">
      <c r="B23" s="25"/>
      <c r="C23" s="25"/>
      <c r="D23" s="49"/>
      <c r="E23" s="49"/>
      <c r="F23" s="33"/>
      <c r="G23" s="4" t="s">
        <v>17</v>
      </c>
      <c r="H23" s="24">
        <f>ROUND(H22,2)*D3</f>
        <v>7572.5</v>
      </c>
    </row>
    <row r="24" spans="1:11">
      <c r="B24" s="29"/>
      <c r="C24" s="29"/>
      <c r="D24" s="18"/>
      <c r="E24" s="18"/>
    </row>
    <row r="26" spans="1:11" ht="12.75" customHeight="1">
      <c r="A26" s="46" t="s">
        <v>18</v>
      </c>
      <c r="B26" s="46"/>
      <c r="C26" s="46"/>
      <c r="D26" s="46"/>
      <c r="E26" s="46"/>
      <c r="F26" s="46"/>
      <c r="G26" s="46"/>
      <c r="H26" s="46"/>
      <c r="I26" s="46"/>
    </row>
    <row r="27" spans="1:11" ht="12.75" customHeight="1">
      <c r="A27" s="46" t="s">
        <v>19</v>
      </c>
      <c r="B27" s="46"/>
      <c r="C27" s="46"/>
      <c r="D27" s="46"/>
      <c r="E27" s="46"/>
      <c r="F27" s="46"/>
      <c r="G27" s="46"/>
      <c r="H27" s="46"/>
      <c r="I27" s="46"/>
    </row>
    <row r="28" spans="1:11" ht="12.75" customHeight="1">
      <c r="A28" s="46" t="s">
        <v>20</v>
      </c>
      <c r="B28" s="46"/>
      <c r="C28" s="46"/>
      <c r="D28" s="46"/>
      <c r="E28" s="46"/>
      <c r="F28" s="46"/>
      <c r="G28" s="46"/>
      <c r="H28" s="46"/>
      <c r="I28" s="46"/>
    </row>
    <row r="29" spans="1:11" ht="12.75" customHeight="1">
      <c r="A29" s="46" t="s">
        <v>21</v>
      </c>
      <c r="B29" s="46"/>
      <c r="C29" s="46"/>
      <c r="D29" s="46"/>
      <c r="E29" s="46"/>
      <c r="F29" s="46"/>
      <c r="G29" s="46"/>
      <c r="H29" s="46"/>
      <c r="I29" s="46"/>
    </row>
    <row r="30" spans="1:11" ht="12.75" customHeight="1">
      <c r="A30" s="46" t="s">
        <v>22</v>
      </c>
      <c r="B30" s="46"/>
      <c r="C30" s="46"/>
      <c r="D30" s="46"/>
      <c r="E30" s="46"/>
      <c r="F30" s="46"/>
      <c r="G30" s="46"/>
      <c r="H30" s="46"/>
      <c r="I30" s="46"/>
    </row>
    <row r="31" spans="1:11" ht="12.75" customHeight="1">
      <c r="A31" s="46" t="s">
        <v>23</v>
      </c>
      <c r="B31" s="46"/>
      <c r="C31" s="46"/>
      <c r="D31" s="46"/>
      <c r="E31" s="46"/>
      <c r="F31" s="46"/>
      <c r="G31" s="46"/>
      <c r="H31" s="46"/>
      <c r="I31" s="46"/>
    </row>
    <row r="32" spans="1:11" ht="24.75" customHeight="1">
      <c r="A32" s="47" t="s">
        <v>24</v>
      </c>
      <c r="B32" s="47"/>
      <c r="C32" s="47"/>
      <c r="D32" s="47"/>
      <c r="E32" s="47"/>
      <c r="F32" s="47"/>
      <c r="G32" s="47"/>
      <c r="H32" s="47"/>
      <c r="I32" s="47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zoomScaleNormal="100" workbookViewId="0">
      <selection activeCell="A18" sqref="A18"/>
    </sheetView>
  </sheetViews>
  <sheetFormatPr defaultColWidth="9.140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1024" width="9.140625" style="1"/>
  </cols>
  <sheetData>
    <row r="1" spans="1:9" ht="15.75">
      <c r="A1" s="50" t="s">
        <v>0</v>
      </c>
      <c r="B1" s="50"/>
      <c r="C1" s="50"/>
      <c r="D1" s="50"/>
      <c r="E1" s="50"/>
      <c r="F1" s="50"/>
      <c r="G1" s="50"/>
      <c r="H1" s="50"/>
      <c r="I1" s="50"/>
    </row>
    <row r="2" spans="1:9" ht="25.5">
      <c r="A2" s="51" t="s">
        <v>45</v>
      </c>
      <c r="B2" s="2" t="s">
        <v>1</v>
      </c>
      <c r="C2" s="2" t="s">
        <v>2</v>
      </c>
      <c r="D2" s="2" t="s">
        <v>3</v>
      </c>
      <c r="E2" s="3" t="s">
        <v>4</v>
      </c>
      <c r="F2" s="3" t="s">
        <v>5</v>
      </c>
      <c r="G2" s="2" t="s">
        <v>6</v>
      </c>
      <c r="H2" s="4" t="s">
        <v>7</v>
      </c>
      <c r="I2" s="5" t="s">
        <v>8</v>
      </c>
    </row>
    <row r="3" spans="1:9" ht="12.75" customHeight="1">
      <c r="A3" s="51"/>
      <c r="B3" s="52" t="s">
        <v>26</v>
      </c>
      <c r="C3" s="53" t="s">
        <v>25</v>
      </c>
      <c r="D3" s="54">
        <v>10</v>
      </c>
      <c r="E3" s="55">
        <f>IF(C20&lt;=25%,D20,MIN(E20:F20))</f>
        <v>757.25</v>
      </c>
      <c r="F3" s="55">
        <f>MIN(H3:H17)</f>
        <v>697.5</v>
      </c>
      <c r="G3" s="6" t="s">
        <v>27</v>
      </c>
      <c r="H3" s="7">
        <v>697.5</v>
      </c>
      <c r="I3" s="8">
        <f t="shared" ref="I3:I17" si="0">IF(H3="","",(IF($C$20&lt;25%,"N/A",IF(H3&lt;=($D$20+$A$20),H3,"Descartado"))))</f>
        <v>697.5</v>
      </c>
    </row>
    <row r="4" spans="1:9">
      <c r="A4" s="51"/>
      <c r="B4" s="52"/>
      <c r="C4" s="53"/>
      <c r="D4" s="54"/>
      <c r="E4" s="55"/>
      <c r="F4" s="55"/>
      <c r="G4" s="6" t="s">
        <v>28</v>
      </c>
      <c r="H4" s="7">
        <v>817</v>
      </c>
      <c r="I4" s="8">
        <f t="shared" si="0"/>
        <v>817</v>
      </c>
    </row>
    <row r="5" spans="1:9">
      <c r="A5" s="51"/>
      <c r="B5" s="52"/>
      <c r="C5" s="53"/>
      <c r="D5" s="54"/>
      <c r="E5" s="55"/>
      <c r="F5" s="55"/>
      <c r="G5" s="6" t="s">
        <v>29</v>
      </c>
      <c r="H5" s="7">
        <v>1125</v>
      </c>
      <c r="I5" s="8" t="str">
        <f t="shared" si="0"/>
        <v>Descartado</v>
      </c>
    </row>
    <row r="6" spans="1:9">
      <c r="A6" s="51"/>
      <c r="B6" s="52"/>
      <c r="C6" s="53"/>
      <c r="D6" s="54"/>
      <c r="E6" s="55"/>
      <c r="F6" s="55"/>
      <c r="G6" s="6"/>
      <c r="H6" s="7"/>
      <c r="I6" s="8" t="str">
        <f t="shared" si="0"/>
        <v/>
      </c>
    </row>
    <row r="7" spans="1:9">
      <c r="A7" s="51"/>
      <c r="B7" s="52"/>
      <c r="C7" s="53"/>
      <c r="D7" s="54"/>
      <c r="E7" s="55"/>
      <c r="F7" s="55"/>
      <c r="G7" s="6"/>
      <c r="H7" s="7"/>
      <c r="I7" s="8" t="str">
        <f t="shared" si="0"/>
        <v/>
      </c>
    </row>
    <row r="8" spans="1:9">
      <c r="A8" s="51"/>
      <c r="B8" s="52"/>
      <c r="C8" s="53"/>
      <c r="D8" s="54"/>
      <c r="E8" s="55"/>
      <c r="F8" s="55"/>
      <c r="G8" s="6"/>
      <c r="H8" s="7"/>
      <c r="I8" s="8" t="str">
        <f t="shared" si="0"/>
        <v/>
      </c>
    </row>
    <row r="9" spans="1:9">
      <c r="A9" s="51"/>
      <c r="B9" s="52"/>
      <c r="C9" s="53"/>
      <c r="D9" s="54"/>
      <c r="E9" s="55"/>
      <c r="F9" s="55"/>
      <c r="G9" s="6"/>
      <c r="H9" s="7"/>
      <c r="I9" s="8" t="str">
        <f t="shared" si="0"/>
        <v/>
      </c>
    </row>
    <row r="10" spans="1:9">
      <c r="A10" s="51"/>
      <c r="B10" s="52"/>
      <c r="C10" s="53"/>
      <c r="D10" s="54"/>
      <c r="E10" s="55"/>
      <c r="F10" s="55"/>
      <c r="G10" s="6"/>
      <c r="H10" s="7"/>
      <c r="I10" s="8" t="str">
        <f t="shared" si="0"/>
        <v/>
      </c>
    </row>
    <row r="11" spans="1:9">
      <c r="A11" s="51"/>
      <c r="B11" s="52"/>
      <c r="C11" s="53"/>
      <c r="D11" s="54"/>
      <c r="E11" s="55"/>
      <c r="F11" s="55"/>
      <c r="G11" s="6"/>
      <c r="H11" s="7"/>
      <c r="I11" s="8" t="str">
        <f t="shared" si="0"/>
        <v/>
      </c>
    </row>
    <row r="12" spans="1:9">
      <c r="A12" s="51"/>
      <c r="B12" s="52"/>
      <c r="C12" s="53"/>
      <c r="D12" s="54"/>
      <c r="E12" s="55"/>
      <c r="F12" s="55"/>
      <c r="G12" s="6"/>
      <c r="H12" s="7"/>
      <c r="I12" s="8" t="str">
        <f t="shared" si="0"/>
        <v/>
      </c>
    </row>
    <row r="13" spans="1:9">
      <c r="A13" s="51"/>
      <c r="B13" s="52"/>
      <c r="C13" s="53"/>
      <c r="D13" s="54"/>
      <c r="E13" s="55"/>
      <c r="F13" s="55"/>
      <c r="G13" s="6"/>
      <c r="H13" s="7"/>
      <c r="I13" s="8" t="str">
        <f t="shared" si="0"/>
        <v/>
      </c>
    </row>
    <row r="14" spans="1:9">
      <c r="A14" s="51"/>
      <c r="B14" s="52"/>
      <c r="C14" s="53"/>
      <c r="D14" s="54"/>
      <c r="E14" s="55"/>
      <c r="F14" s="55"/>
      <c r="G14" s="6"/>
      <c r="H14" s="7"/>
      <c r="I14" s="8" t="str">
        <f t="shared" si="0"/>
        <v/>
      </c>
    </row>
    <row r="15" spans="1:9">
      <c r="A15" s="51"/>
      <c r="B15" s="52"/>
      <c r="C15" s="53"/>
      <c r="D15" s="54"/>
      <c r="E15" s="55"/>
      <c r="F15" s="55"/>
      <c r="G15" s="6"/>
      <c r="H15" s="7"/>
      <c r="I15" s="8" t="str">
        <f t="shared" si="0"/>
        <v/>
      </c>
    </row>
    <row r="16" spans="1:9">
      <c r="A16" s="51"/>
      <c r="B16" s="52"/>
      <c r="C16" s="53"/>
      <c r="D16" s="54"/>
      <c r="E16" s="55"/>
      <c r="F16" s="55"/>
      <c r="G16" s="6"/>
      <c r="H16" s="7"/>
      <c r="I16" s="8" t="str">
        <f t="shared" si="0"/>
        <v/>
      </c>
    </row>
    <row r="17" spans="1:11">
      <c r="A17" s="51"/>
      <c r="B17" s="52"/>
      <c r="C17" s="53"/>
      <c r="D17" s="54"/>
      <c r="E17" s="55"/>
      <c r="F17" s="55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9</v>
      </c>
      <c r="B19" s="5" t="s">
        <v>10</v>
      </c>
      <c r="C19" s="4" t="s">
        <v>11</v>
      </c>
      <c r="D19" s="16" t="s">
        <v>12</v>
      </c>
      <c r="E19" s="17" t="s">
        <v>13</v>
      </c>
      <c r="F19" s="16" t="s">
        <v>14</v>
      </c>
      <c r="G19" s="48" t="s">
        <v>15</v>
      </c>
      <c r="H19" s="48"/>
      <c r="I19" s="18"/>
    </row>
    <row r="20" spans="1:11">
      <c r="A20" s="19">
        <f>IF(B20&lt;2,"N/A",(STDEV(H3:H17)))</f>
        <v>220.56763890773564</v>
      </c>
      <c r="B20" s="19">
        <f>COUNT(H3:H17)</f>
        <v>3</v>
      </c>
      <c r="C20" s="20">
        <f>IF(B20&lt;2,"N/A",(A20/D20))</f>
        <v>0.25069347363437894</v>
      </c>
      <c r="D20" s="21">
        <f>ROUND(AVERAGE(H3:H17),2)</f>
        <v>879.83</v>
      </c>
      <c r="E20" s="22">
        <f>IFERROR(ROUND(IF(B20&lt;2,"N/A",(IF(C20&lt;=25%,"N/A",AVERAGE(I3:I17)))),2),"N/A")</f>
        <v>757.25</v>
      </c>
      <c r="F20" s="22">
        <f>ROUND(MEDIAN(H3:H17),2)</f>
        <v>817</v>
      </c>
      <c r="G20" s="23" t="str">
        <f>INDEX(G3:G17,MATCH(H20,H3:H17,0))</f>
        <v>NÃO ALTERE AS FÓRMULAS LTDA</v>
      </c>
      <c r="H20" s="24">
        <f>MIN(H3:H17)</f>
        <v>697.5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49"/>
      <c r="E22" s="49"/>
      <c r="F22" s="30"/>
      <c r="G22" s="31" t="s">
        <v>16</v>
      </c>
      <c r="H22" s="32">
        <f>IF(C20&lt;=25%,D20,MIN(E20:F20))</f>
        <v>757.25</v>
      </c>
    </row>
    <row r="23" spans="1:11">
      <c r="B23" s="25"/>
      <c r="C23" s="25"/>
      <c r="D23" s="49"/>
      <c r="E23" s="49"/>
      <c r="F23" s="33"/>
      <c r="G23" s="4" t="s">
        <v>17</v>
      </c>
      <c r="H23" s="24">
        <f>ROUND(H22,2)*D3</f>
        <v>7572.5</v>
      </c>
    </row>
    <row r="24" spans="1:11">
      <c r="B24" s="29"/>
      <c r="C24" s="29"/>
      <c r="D24" s="18"/>
      <c r="E24" s="18"/>
    </row>
    <row r="26" spans="1:11" ht="12.75" customHeight="1">
      <c r="A26" s="46" t="s">
        <v>18</v>
      </c>
      <c r="B26" s="46"/>
      <c r="C26" s="46"/>
      <c r="D26" s="46"/>
      <c r="E26" s="46"/>
      <c r="F26" s="46"/>
      <c r="G26" s="46"/>
      <c r="H26" s="46"/>
      <c r="I26" s="46"/>
    </row>
    <row r="27" spans="1:11" ht="12.75" customHeight="1">
      <c r="A27" s="46" t="s">
        <v>19</v>
      </c>
      <c r="B27" s="46"/>
      <c r="C27" s="46"/>
      <c r="D27" s="46"/>
      <c r="E27" s="46"/>
      <c r="F27" s="46"/>
      <c r="G27" s="46"/>
      <c r="H27" s="46"/>
      <c r="I27" s="46"/>
    </row>
    <row r="28" spans="1:11" ht="12.75" customHeight="1">
      <c r="A28" s="46" t="s">
        <v>20</v>
      </c>
      <c r="B28" s="46"/>
      <c r="C28" s="46"/>
      <c r="D28" s="46"/>
      <c r="E28" s="46"/>
      <c r="F28" s="46"/>
      <c r="G28" s="46"/>
      <c r="H28" s="46"/>
      <c r="I28" s="46"/>
    </row>
    <row r="29" spans="1:11" ht="12.75" customHeight="1">
      <c r="A29" s="46" t="s">
        <v>21</v>
      </c>
      <c r="B29" s="46"/>
      <c r="C29" s="46"/>
      <c r="D29" s="46"/>
      <c r="E29" s="46"/>
      <c r="F29" s="46"/>
      <c r="G29" s="46"/>
      <c r="H29" s="46"/>
      <c r="I29" s="46"/>
    </row>
    <row r="30" spans="1:11" ht="12.75" customHeight="1">
      <c r="A30" s="46" t="s">
        <v>22</v>
      </c>
      <c r="B30" s="46"/>
      <c r="C30" s="46"/>
      <c r="D30" s="46"/>
      <c r="E30" s="46"/>
      <c r="F30" s="46"/>
      <c r="G30" s="46"/>
      <c r="H30" s="46"/>
      <c r="I30" s="46"/>
    </row>
    <row r="31" spans="1:11" ht="12.75" customHeight="1">
      <c r="A31" s="46" t="s">
        <v>23</v>
      </c>
      <c r="B31" s="46"/>
      <c r="C31" s="46"/>
      <c r="D31" s="46"/>
      <c r="E31" s="46"/>
      <c r="F31" s="46"/>
      <c r="G31" s="46"/>
      <c r="H31" s="46"/>
      <c r="I31" s="46"/>
    </row>
    <row r="32" spans="1:11" ht="24.75" customHeight="1">
      <c r="A32" s="47" t="s">
        <v>24</v>
      </c>
      <c r="B32" s="47"/>
      <c r="C32" s="47"/>
      <c r="D32" s="47"/>
      <c r="E32" s="47"/>
      <c r="F32" s="47"/>
      <c r="G32" s="47"/>
      <c r="H32" s="47"/>
      <c r="I32" s="47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zoomScaleNormal="100" workbookViewId="0">
      <selection activeCell="A18" sqref="A18"/>
    </sheetView>
  </sheetViews>
  <sheetFormatPr defaultColWidth="9.140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1024" width="9.140625" style="1"/>
  </cols>
  <sheetData>
    <row r="1" spans="1:9" ht="15.75">
      <c r="A1" s="50" t="s">
        <v>0</v>
      </c>
      <c r="B1" s="50"/>
      <c r="C1" s="50"/>
      <c r="D1" s="50"/>
      <c r="E1" s="50"/>
      <c r="F1" s="50"/>
      <c r="G1" s="50"/>
      <c r="H1" s="50"/>
      <c r="I1" s="50"/>
    </row>
    <row r="2" spans="1:9" ht="25.5">
      <c r="A2" s="51" t="s">
        <v>46</v>
      </c>
      <c r="B2" s="2" t="s">
        <v>1</v>
      </c>
      <c r="C2" s="2" t="s">
        <v>2</v>
      </c>
      <c r="D2" s="2" t="s">
        <v>3</v>
      </c>
      <c r="E2" s="3" t="s">
        <v>4</v>
      </c>
      <c r="F2" s="3" t="s">
        <v>5</v>
      </c>
      <c r="G2" s="2" t="s">
        <v>6</v>
      </c>
      <c r="H2" s="4" t="s">
        <v>7</v>
      </c>
      <c r="I2" s="5" t="s">
        <v>8</v>
      </c>
    </row>
    <row r="3" spans="1:9" ht="12.75" customHeight="1">
      <c r="A3" s="51"/>
      <c r="B3" s="52" t="s">
        <v>26</v>
      </c>
      <c r="C3" s="53" t="s">
        <v>25</v>
      </c>
      <c r="D3" s="54">
        <v>10</v>
      </c>
      <c r="E3" s="55">
        <f>IF(C20&lt;=25%,D20,MIN(E20:F20))</f>
        <v>757.25</v>
      </c>
      <c r="F3" s="55">
        <f>MIN(H3:H17)</f>
        <v>697.5</v>
      </c>
      <c r="G3" s="6" t="s">
        <v>27</v>
      </c>
      <c r="H3" s="7">
        <v>697.5</v>
      </c>
      <c r="I3" s="8">
        <f t="shared" ref="I3:I17" si="0">IF(H3="","",(IF($C$20&lt;25%,"N/A",IF(H3&lt;=($D$20+$A$20),H3,"Descartado"))))</f>
        <v>697.5</v>
      </c>
    </row>
    <row r="4" spans="1:9">
      <c r="A4" s="51"/>
      <c r="B4" s="52"/>
      <c r="C4" s="53"/>
      <c r="D4" s="54"/>
      <c r="E4" s="55"/>
      <c r="F4" s="55"/>
      <c r="G4" s="6" t="s">
        <v>28</v>
      </c>
      <c r="H4" s="7">
        <v>817</v>
      </c>
      <c r="I4" s="8">
        <f t="shared" si="0"/>
        <v>817</v>
      </c>
    </row>
    <row r="5" spans="1:9">
      <c r="A5" s="51"/>
      <c r="B5" s="52"/>
      <c r="C5" s="53"/>
      <c r="D5" s="54"/>
      <c r="E5" s="55"/>
      <c r="F5" s="55"/>
      <c r="G5" s="6" t="s">
        <v>29</v>
      </c>
      <c r="H5" s="7">
        <v>1125</v>
      </c>
      <c r="I5" s="8" t="str">
        <f t="shared" si="0"/>
        <v>Descartado</v>
      </c>
    </row>
    <row r="6" spans="1:9">
      <c r="A6" s="51"/>
      <c r="B6" s="52"/>
      <c r="C6" s="53"/>
      <c r="D6" s="54"/>
      <c r="E6" s="55"/>
      <c r="F6" s="55"/>
      <c r="G6" s="6"/>
      <c r="H6" s="7"/>
      <c r="I6" s="8" t="str">
        <f t="shared" si="0"/>
        <v/>
      </c>
    </row>
    <row r="7" spans="1:9">
      <c r="A7" s="51"/>
      <c r="B7" s="52"/>
      <c r="C7" s="53"/>
      <c r="D7" s="54"/>
      <c r="E7" s="55"/>
      <c r="F7" s="55"/>
      <c r="G7" s="6"/>
      <c r="H7" s="7"/>
      <c r="I7" s="8" t="str">
        <f t="shared" si="0"/>
        <v/>
      </c>
    </row>
    <row r="8" spans="1:9">
      <c r="A8" s="51"/>
      <c r="B8" s="52"/>
      <c r="C8" s="53"/>
      <c r="D8" s="54"/>
      <c r="E8" s="55"/>
      <c r="F8" s="55"/>
      <c r="G8" s="6"/>
      <c r="H8" s="7"/>
      <c r="I8" s="8" t="str">
        <f t="shared" si="0"/>
        <v/>
      </c>
    </row>
    <row r="9" spans="1:9">
      <c r="A9" s="51"/>
      <c r="B9" s="52"/>
      <c r="C9" s="53"/>
      <c r="D9" s="54"/>
      <c r="E9" s="55"/>
      <c r="F9" s="55"/>
      <c r="G9" s="6"/>
      <c r="H9" s="7"/>
      <c r="I9" s="8" t="str">
        <f t="shared" si="0"/>
        <v/>
      </c>
    </row>
    <row r="10" spans="1:9">
      <c r="A10" s="51"/>
      <c r="B10" s="52"/>
      <c r="C10" s="53"/>
      <c r="D10" s="54"/>
      <c r="E10" s="55"/>
      <c r="F10" s="55"/>
      <c r="G10" s="6"/>
      <c r="H10" s="7"/>
      <c r="I10" s="8" t="str">
        <f t="shared" si="0"/>
        <v/>
      </c>
    </row>
    <row r="11" spans="1:9">
      <c r="A11" s="51"/>
      <c r="B11" s="52"/>
      <c r="C11" s="53"/>
      <c r="D11" s="54"/>
      <c r="E11" s="55"/>
      <c r="F11" s="55"/>
      <c r="G11" s="6"/>
      <c r="H11" s="7"/>
      <c r="I11" s="8" t="str">
        <f t="shared" si="0"/>
        <v/>
      </c>
    </row>
    <row r="12" spans="1:9">
      <c r="A12" s="51"/>
      <c r="B12" s="52"/>
      <c r="C12" s="53"/>
      <c r="D12" s="54"/>
      <c r="E12" s="55"/>
      <c r="F12" s="55"/>
      <c r="G12" s="6"/>
      <c r="H12" s="7"/>
      <c r="I12" s="8" t="str">
        <f t="shared" si="0"/>
        <v/>
      </c>
    </row>
    <row r="13" spans="1:9">
      <c r="A13" s="51"/>
      <c r="B13" s="52"/>
      <c r="C13" s="53"/>
      <c r="D13" s="54"/>
      <c r="E13" s="55"/>
      <c r="F13" s="55"/>
      <c r="G13" s="6"/>
      <c r="H13" s="7"/>
      <c r="I13" s="8" t="str">
        <f t="shared" si="0"/>
        <v/>
      </c>
    </row>
    <row r="14" spans="1:9">
      <c r="A14" s="51"/>
      <c r="B14" s="52"/>
      <c r="C14" s="53"/>
      <c r="D14" s="54"/>
      <c r="E14" s="55"/>
      <c r="F14" s="55"/>
      <c r="G14" s="6"/>
      <c r="H14" s="7"/>
      <c r="I14" s="8" t="str">
        <f t="shared" si="0"/>
        <v/>
      </c>
    </row>
    <row r="15" spans="1:9">
      <c r="A15" s="51"/>
      <c r="B15" s="52"/>
      <c r="C15" s="53"/>
      <c r="D15" s="54"/>
      <c r="E15" s="55"/>
      <c r="F15" s="55"/>
      <c r="G15" s="6"/>
      <c r="H15" s="7"/>
      <c r="I15" s="8" t="str">
        <f t="shared" si="0"/>
        <v/>
      </c>
    </row>
    <row r="16" spans="1:9">
      <c r="A16" s="51"/>
      <c r="B16" s="52"/>
      <c r="C16" s="53"/>
      <c r="D16" s="54"/>
      <c r="E16" s="55"/>
      <c r="F16" s="55"/>
      <c r="G16" s="6"/>
      <c r="H16" s="7"/>
      <c r="I16" s="8" t="str">
        <f t="shared" si="0"/>
        <v/>
      </c>
    </row>
    <row r="17" spans="1:11">
      <c r="A17" s="51"/>
      <c r="B17" s="52"/>
      <c r="C17" s="53"/>
      <c r="D17" s="54"/>
      <c r="E17" s="55"/>
      <c r="F17" s="55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9</v>
      </c>
      <c r="B19" s="5" t="s">
        <v>10</v>
      </c>
      <c r="C19" s="4" t="s">
        <v>11</v>
      </c>
      <c r="D19" s="16" t="s">
        <v>12</v>
      </c>
      <c r="E19" s="17" t="s">
        <v>13</v>
      </c>
      <c r="F19" s="16" t="s">
        <v>14</v>
      </c>
      <c r="G19" s="48" t="s">
        <v>15</v>
      </c>
      <c r="H19" s="48"/>
      <c r="I19" s="18"/>
    </row>
    <row r="20" spans="1:11">
      <c r="A20" s="19">
        <f>IF(B20&lt;2,"N/A",(STDEV(H3:H17)))</f>
        <v>220.56763890773564</v>
      </c>
      <c r="B20" s="19">
        <f>COUNT(H3:H17)</f>
        <v>3</v>
      </c>
      <c r="C20" s="20">
        <f>IF(B20&lt;2,"N/A",(A20/D20))</f>
        <v>0.25069347363437894</v>
      </c>
      <c r="D20" s="21">
        <f>ROUND(AVERAGE(H3:H17),2)</f>
        <v>879.83</v>
      </c>
      <c r="E20" s="22">
        <f>IFERROR(ROUND(IF(B20&lt;2,"N/A",(IF(C20&lt;=25%,"N/A",AVERAGE(I3:I17)))),2),"N/A")</f>
        <v>757.25</v>
      </c>
      <c r="F20" s="22">
        <f>ROUND(MEDIAN(H3:H17),2)</f>
        <v>817</v>
      </c>
      <c r="G20" s="23" t="str">
        <f>INDEX(G3:G17,MATCH(H20,H3:H17,0))</f>
        <v>NÃO ALTERE AS FÓRMULAS LTDA</v>
      </c>
      <c r="H20" s="24">
        <f>MIN(H3:H17)</f>
        <v>697.5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49"/>
      <c r="E22" s="49"/>
      <c r="F22" s="30"/>
      <c r="G22" s="31" t="s">
        <v>16</v>
      </c>
      <c r="H22" s="32">
        <f>IF(C20&lt;=25%,D20,MIN(E20:F20))</f>
        <v>757.25</v>
      </c>
    </row>
    <row r="23" spans="1:11">
      <c r="B23" s="25"/>
      <c r="C23" s="25"/>
      <c r="D23" s="49"/>
      <c r="E23" s="49"/>
      <c r="F23" s="33"/>
      <c r="G23" s="4" t="s">
        <v>17</v>
      </c>
      <c r="H23" s="24">
        <f>ROUND(H22,2)*D3</f>
        <v>7572.5</v>
      </c>
    </row>
    <row r="24" spans="1:11">
      <c r="B24" s="29"/>
      <c r="C24" s="29"/>
      <c r="D24" s="18"/>
      <c r="E24" s="18"/>
    </row>
    <row r="26" spans="1:11" ht="12.75" customHeight="1">
      <c r="A26" s="46" t="s">
        <v>18</v>
      </c>
      <c r="B26" s="46"/>
      <c r="C26" s="46"/>
      <c r="D26" s="46"/>
      <c r="E26" s="46"/>
      <c r="F26" s="46"/>
      <c r="G26" s="46"/>
      <c r="H26" s="46"/>
      <c r="I26" s="46"/>
    </row>
    <row r="27" spans="1:11" ht="12.75" customHeight="1">
      <c r="A27" s="46" t="s">
        <v>19</v>
      </c>
      <c r="B27" s="46"/>
      <c r="C27" s="46"/>
      <c r="D27" s="46"/>
      <c r="E27" s="46"/>
      <c r="F27" s="46"/>
      <c r="G27" s="46"/>
      <c r="H27" s="46"/>
      <c r="I27" s="46"/>
    </row>
    <row r="28" spans="1:11" ht="12.75" customHeight="1">
      <c r="A28" s="46" t="s">
        <v>20</v>
      </c>
      <c r="B28" s="46"/>
      <c r="C28" s="46"/>
      <c r="D28" s="46"/>
      <c r="E28" s="46"/>
      <c r="F28" s="46"/>
      <c r="G28" s="46"/>
      <c r="H28" s="46"/>
      <c r="I28" s="46"/>
    </row>
    <row r="29" spans="1:11" ht="12.75" customHeight="1">
      <c r="A29" s="46" t="s">
        <v>21</v>
      </c>
      <c r="B29" s="46"/>
      <c r="C29" s="46"/>
      <c r="D29" s="46"/>
      <c r="E29" s="46"/>
      <c r="F29" s="46"/>
      <c r="G29" s="46"/>
      <c r="H29" s="46"/>
      <c r="I29" s="46"/>
    </row>
    <row r="30" spans="1:11" ht="12.75" customHeight="1">
      <c r="A30" s="46" t="s">
        <v>22</v>
      </c>
      <c r="B30" s="46"/>
      <c r="C30" s="46"/>
      <c r="D30" s="46"/>
      <c r="E30" s="46"/>
      <c r="F30" s="46"/>
      <c r="G30" s="46"/>
      <c r="H30" s="46"/>
      <c r="I30" s="46"/>
    </row>
    <row r="31" spans="1:11" ht="12.75" customHeight="1">
      <c r="A31" s="46" t="s">
        <v>23</v>
      </c>
      <c r="B31" s="46"/>
      <c r="C31" s="46"/>
      <c r="D31" s="46"/>
      <c r="E31" s="46"/>
      <c r="F31" s="46"/>
      <c r="G31" s="46"/>
      <c r="H31" s="46"/>
      <c r="I31" s="46"/>
    </row>
    <row r="32" spans="1:11" ht="24.75" customHeight="1">
      <c r="A32" s="47" t="s">
        <v>24</v>
      </c>
      <c r="B32" s="47"/>
      <c r="C32" s="47"/>
      <c r="D32" s="47"/>
      <c r="E32" s="47"/>
      <c r="F32" s="47"/>
      <c r="G32" s="47"/>
      <c r="H32" s="47"/>
      <c r="I32" s="47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zoomScaleNormal="100" workbookViewId="0">
      <selection activeCell="A18" sqref="A18"/>
    </sheetView>
  </sheetViews>
  <sheetFormatPr defaultColWidth="9.140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1024" width="9.140625" style="1"/>
  </cols>
  <sheetData>
    <row r="1" spans="1:9" ht="15.75">
      <c r="A1" s="50" t="s">
        <v>0</v>
      </c>
      <c r="B1" s="50"/>
      <c r="C1" s="50"/>
      <c r="D1" s="50"/>
      <c r="E1" s="50"/>
      <c r="F1" s="50"/>
      <c r="G1" s="50"/>
      <c r="H1" s="50"/>
      <c r="I1" s="50"/>
    </row>
    <row r="2" spans="1:9" ht="25.5">
      <c r="A2" s="51" t="s">
        <v>47</v>
      </c>
      <c r="B2" s="2" t="s">
        <v>1</v>
      </c>
      <c r="C2" s="2" t="s">
        <v>2</v>
      </c>
      <c r="D2" s="2" t="s">
        <v>3</v>
      </c>
      <c r="E2" s="3" t="s">
        <v>4</v>
      </c>
      <c r="F2" s="3" t="s">
        <v>5</v>
      </c>
      <c r="G2" s="2" t="s">
        <v>6</v>
      </c>
      <c r="H2" s="4" t="s">
        <v>7</v>
      </c>
      <c r="I2" s="5" t="s">
        <v>8</v>
      </c>
    </row>
    <row r="3" spans="1:9" ht="12.75" customHeight="1">
      <c r="A3" s="51"/>
      <c r="B3" s="52" t="s">
        <v>26</v>
      </c>
      <c r="C3" s="53" t="s">
        <v>25</v>
      </c>
      <c r="D3" s="54">
        <v>10</v>
      </c>
      <c r="E3" s="55">
        <f>IF(C20&lt;=25%,D20,MIN(E20:F20))</f>
        <v>757.25</v>
      </c>
      <c r="F3" s="55">
        <f>MIN(H3:H17)</f>
        <v>697.5</v>
      </c>
      <c r="G3" s="6" t="s">
        <v>27</v>
      </c>
      <c r="H3" s="7">
        <v>697.5</v>
      </c>
      <c r="I3" s="8">
        <f t="shared" ref="I3:I17" si="0">IF(H3="","",(IF($C$20&lt;25%,"N/A",IF(H3&lt;=($D$20+$A$20),H3,"Descartado"))))</f>
        <v>697.5</v>
      </c>
    </row>
    <row r="4" spans="1:9">
      <c r="A4" s="51"/>
      <c r="B4" s="52"/>
      <c r="C4" s="53"/>
      <c r="D4" s="54"/>
      <c r="E4" s="55"/>
      <c r="F4" s="55"/>
      <c r="G4" s="6" t="s">
        <v>28</v>
      </c>
      <c r="H4" s="7">
        <v>817</v>
      </c>
      <c r="I4" s="8">
        <f t="shared" si="0"/>
        <v>817</v>
      </c>
    </row>
    <row r="5" spans="1:9">
      <c r="A5" s="51"/>
      <c r="B5" s="52"/>
      <c r="C5" s="53"/>
      <c r="D5" s="54"/>
      <c r="E5" s="55"/>
      <c r="F5" s="55"/>
      <c r="G5" s="6" t="s">
        <v>29</v>
      </c>
      <c r="H5" s="7">
        <v>1125</v>
      </c>
      <c r="I5" s="8" t="str">
        <f t="shared" si="0"/>
        <v>Descartado</v>
      </c>
    </row>
    <row r="6" spans="1:9">
      <c r="A6" s="51"/>
      <c r="B6" s="52"/>
      <c r="C6" s="53"/>
      <c r="D6" s="54"/>
      <c r="E6" s="55"/>
      <c r="F6" s="55"/>
      <c r="G6" s="6"/>
      <c r="H6" s="7"/>
      <c r="I6" s="8" t="str">
        <f t="shared" si="0"/>
        <v/>
      </c>
    </row>
    <row r="7" spans="1:9">
      <c r="A7" s="51"/>
      <c r="B7" s="52"/>
      <c r="C7" s="53"/>
      <c r="D7" s="54"/>
      <c r="E7" s="55"/>
      <c r="F7" s="55"/>
      <c r="G7" s="6"/>
      <c r="H7" s="7"/>
      <c r="I7" s="8" t="str">
        <f t="shared" si="0"/>
        <v/>
      </c>
    </row>
    <row r="8" spans="1:9">
      <c r="A8" s="51"/>
      <c r="B8" s="52"/>
      <c r="C8" s="53"/>
      <c r="D8" s="54"/>
      <c r="E8" s="55"/>
      <c r="F8" s="55"/>
      <c r="G8" s="6"/>
      <c r="H8" s="7"/>
      <c r="I8" s="8" t="str">
        <f t="shared" si="0"/>
        <v/>
      </c>
    </row>
    <row r="9" spans="1:9">
      <c r="A9" s="51"/>
      <c r="B9" s="52"/>
      <c r="C9" s="53"/>
      <c r="D9" s="54"/>
      <c r="E9" s="55"/>
      <c r="F9" s="55"/>
      <c r="G9" s="6"/>
      <c r="H9" s="7"/>
      <c r="I9" s="8" t="str">
        <f t="shared" si="0"/>
        <v/>
      </c>
    </row>
    <row r="10" spans="1:9">
      <c r="A10" s="51"/>
      <c r="B10" s="52"/>
      <c r="C10" s="53"/>
      <c r="D10" s="54"/>
      <c r="E10" s="55"/>
      <c r="F10" s="55"/>
      <c r="G10" s="6"/>
      <c r="H10" s="7"/>
      <c r="I10" s="8" t="str">
        <f t="shared" si="0"/>
        <v/>
      </c>
    </row>
    <row r="11" spans="1:9">
      <c r="A11" s="51"/>
      <c r="B11" s="52"/>
      <c r="C11" s="53"/>
      <c r="D11" s="54"/>
      <c r="E11" s="55"/>
      <c r="F11" s="55"/>
      <c r="G11" s="6"/>
      <c r="H11" s="7"/>
      <c r="I11" s="8" t="str">
        <f t="shared" si="0"/>
        <v/>
      </c>
    </row>
    <row r="12" spans="1:9">
      <c r="A12" s="51"/>
      <c r="B12" s="52"/>
      <c r="C12" s="53"/>
      <c r="D12" s="54"/>
      <c r="E12" s="55"/>
      <c r="F12" s="55"/>
      <c r="G12" s="6"/>
      <c r="H12" s="7"/>
      <c r="I12" s="8" t="str">
        <f t="shared" si="0"/>
        <v/>
      </c>
    </row>
    <row r="13" spans="1:9">
      <c r="A13" s="51"/>
      <c r="B13" s="52"/>
      <c r="C13" s="53"/>
      <c r="D13" s="54"/>
      <c r="E13" s="55"/>
      <c r="F13" s="55"/>
      <c r="G13" s="6"/>
      <c r="H13" s="7"/>
      <c r="I13" s="8" t="str">
        <f t="shared" si="0"/>
        <v/>
      </c>
    </row>
    <row r="14" spans="1:9">
      <c r="A14" s="51"/>
      <c r="B14" s="52"/>
      <c r="C14" s="53"/>
      <c r="D14" s="54"/>
      <c r="E14" s="55"/>
      <c r="F14" s="55"/>
      <c r="G14" s="6"/>
      <c r="H14" s="7"/>
      <c r="I14" s="8" t="str">
        <f t="shared" si="0"/>
        <v/>
      </c>
    </row>
    <row r="15" spans="1:9">
      <c r="A15" s="51"/>
      <c r="B15" s="52"/>
      <c r="C15" s="53"/>
      <c r="D15" s="54"/>
      <c r="E15" s="55"/>
      <c r="F15" s="55"/>
      <c r="G15" s="6"/>
      <c r="H15" s="7"/>
      <c r="I15" s="8" t="str">
        <f t="shared" si="0"/>
        <v/>
      </c>
    </row>
    <row r="16" spans="1:9">
      <c r="A16" s="51"/>
      <c r="B16" s="52"/>
      <c r="C16" s="53"/>
      <c r="D16" s="54"/>
      <c r="E16" s="55"/>
      <c r="F16" s="55"/>
      <c r="G16" s="6"/>
      <c r="H16" s="7"/>
      <c r="I16" s="8" t="str">
        <f t="shared" si="0"/>
        <v/>
      </c>
    </row>
    <row r="17" spans="1:11">
      <c r="A17" s="51"/>
      <c r="B17" s="52"/>
      <c r="C17" s="53"/>
      <c r="D17" s="54"/>
      <c r="E17" s="55"/>
      <c r="F17" s="55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9</v>
      </c>
      <c r="B19" s="5" t="s">
        <v>10</v>
      </c>
      <c r="C19" s="4" t="s">
        <v>11</v>
      </c>
      <c r="D19" s="16" t="s">
        <v>12</v>
      </c>
      <c r="E19" s="17" t="s">
        <v>13</v>
      </c>
      <c r="F19" s="16" t="s">
        <v>14</v>
      </c>
      <c r="G19" s="48" t="s">
        <v>15</v>
      </c>
      <c r="H19" s="48"/>
      <c r="I19" s="18"/>
    </row>
    <row r="20" spans="1:11">
      <c r="A20" s="19">
        <f>IF(B20&lt;2,"N/A",(STDEV(H3:H17)))</f>
        <v>220.56763890773564</v>
      </c>
      <c r="B20" s="19">
        <f>COUNT(H3:H17)</f>
        <v>3</v>
      </c>
      <c r="C20" s="20">
        <f>IF(B20&lt;2,"N/A",(A20/D20))</f>
        <v>0.25069347363437894</v>
      </c>
      <c r="D20" s="21">
        <f>ROUND(AVERAGE(H3:H17),2)</f>
        <v>879.83</v>
      </c>
      <c r="E20" s="22">
        <f>IFERROR(ROUND(IF(B20&lt;2,"N/A",(IF(C20&lt;=25%,"N/A",AVERAGE(I3:I17)))),2),"N/A")</f>
        <v>757.25</v>
      </c>
      <c r="F20" s="22">
        <f>ROUND(MEDIAN(H3:H17),2)</f>
        <v>817</v>
      </c>
      <c r="G20" s="23" t="str">
        <f>INDEX(G3:G17,MATCH(H20,H3:H17,0))</f>
        <v>NÃO ALTERE AS FÓRMULAS LTDA</v>
      </c>
      <c r="H20" s="24">
        <f>MIN(H3:H17)</f>
        <v>697.5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49"/>
      <c r="E22" s="49"/>
      <c r="F22" s="30"/>
      <c r="G22" s="31" t="s">
        <v>16</v>
      </c>
      <c r="H22" s="32">
        <f>IF(C20&lt;=25%,D20,MIN(E20:F20))</f>
        <v>757.25</v>
      </c>
    </row>
    <row r="23" spans="1:11">
      <c r="B23" s="25"/>
      <c r="C23" s="25"/>
      <c r="D23" s="49"/>
      <c r="E23" s="49"/>
      <c r="F23" s="33"/>
      <c r="G23" s="4" t="s">
        <v>17</v>
      </c>
      <c r="H23" s="24">
        <f>ROUND(H22,2)*D3</f>
        <v>7572.5</v>
      </c>
    </row>
    <row r="24" spans="1:11">
      <c r="B24" s="29"/>
      <c r="C24" s="29"/>
      <c r="D24" s="18"/>
      <c r="E24" s="18"/>
    </row>
    <row r="26" spans="1:11" ht="12.75" customHeight="1">
      <c r="A26" s="46" t="s">
        <v>18</v>
      </c>
      <c r="B26" s="46"/>
      <c r="C26" s="46"/>
      <c r="D26" s="46"/>
      <c r="E26" s="46"/>
      <c r="F26" s="46"/>
      <c r="G26" s="46"/>
      <c r="H26" s="46"/>
      <c r="I26" s="46"/>
    </row>
    <row r="27" spans="1:11" ht="12.75" customHeight="1">
      <c r="A27" s="46" t="s">
        <v>19</v>
      </c>
      <c r="B27" s="46"/>
      <c r="C27" s="46"/>
      <c r="D27" s="46"/>
      <c r="E27" s="46"/>
      <c r="F27" s="46"/>
      <c r="G27" s="46"/>
      <c r="H27" s="46"/>
      <c r="I27" s="46"/>
    </row>
    <row r="28" spans="1:11" ht="12.75" customHeight="1">
      <c r="A28" s="46" t="s">
        <v>20</v>
      </c>
      <c r="B28" s="46"/>
      <c r="C28" s="46"/>
      <c r="D28" s="46"/>
      <c r="E28" s="46"/>
      <c r="F28" s="46"/>
      <c r="G28" s="46"/>
      <c r="H28" s="46"/>
      <c r="I28" s="46"/>
    </row>
    <row r="29" spans="1:11" ht="12.75" customHeight="1">
      <c r="A29" s="46" t="s">
        <v>21</v>
      </c>
      <c r="B29" s="46"/>
      <c r="C29" s="46"/>
      <c r="D29" s="46"/>
      <c r="E29" s="46"/>
      <c r="F29" s="46"/>
      <c r="G29" s="46"/>
      <c r="H29" s="46"/>
      <c r="I29" s="46"/>
    </row>
    <row r="30" spans="1:11" ht="12.75" customHeight="1">
      <c r="A30" s="46" t="s">
        <v>22</v>
      </c>
      <c r="B30" s="46"/>
      <c r="C30" s="46"/>
      <c r="D30" s="46"/>
      <c r="E30" s="46"/>
      <c r="F30" s="46"/>
      <c r="G30" s="46"/>
      <c r="H30" s="46"/>
      <c r="I30" s="46"/>
    </row>
    <row r="31" spans="1:11" ht="12.75" customHeight="1">
      <c r="A31" s="46" t="s">
        <v>23</v>
      </c>
      <c r="B31" s="46"/>
      <c r="C31" s="46"/>
      <c r="D31" s="46"/>
      <c r="E31" s="46"/>
      <c r="F31" s="46"/>
      <c r="G31" s="46"/>
      <c r="H31" s="46"/>
      <c r="I31" s="46"/>
    </row>
    <row r="32" spans="1:11" ht="24.75" customHeight="1">
      <c r="A32" s="47" t="s">
        <v>24</v>
      </c>
      <c r="B32" s="47"/>
      <c r="C32" s="47"/>
      <c r="D32" s="47"/>
      <c r="E32" s="47"/>
      <c r="F32" s="47"/>
      <c r="G32" s="47"/>
      <c r="H32" s="47"/>
      <c r="I32" s="47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zoomScaleNormal="100" workbookViewId="0">
      <selection activeCell="A2" sqref="A2"/>
    </sheetView>
  </sheetViews>
  <sheetFormatPr defaultColWidth="9.140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1024" width="9.140625" style="1"/>
  </cols>
  <sheetData>
    <row r="1" spans="1:9" ht="15.75">
      <c r="A1" s="50" t="s">
        <v>0</v>
      </c>
      <c r="B1" s="50"/>
      <c r="C1" s="50"/>
      <c r="D1" s="50"/>
      <c r="E1" s="50"/>
      <c r="F1" s="50"/>
      <c r="G1" s="50"/>
      <c r="H1" s="50"/>
      <c r="I1" s="50"/>
    </row>
    <row r="2" spans="1:9" ht="25.5">
      <c r="A2" s="51" t="s">
        <v>48</v>
      </c>
      <c r="B2" s="2" t="s">
        <v>1</v>
      </c>
      <c r="C2" s="2" t="s">
        <v>2</v>
      </c>
      <c r="D2" s="2" t="s">
        <v>3</v>
      </c>
      <c r="E2" s="3" t="s">
        <v>4</v>
      </c>
      <c r="F2" s="3" t="s">
        <v>5</v>
      </c>
      <c r="G2" s="2" t="s">
        <v>6</v>
      </c>
      <c r="H2" s="4" t="s">
        <v>7</v>
      </c>
      <c r="I2" s="5" t="s">
        <v>8</v>
      </c>
    </row>
    <row r="3" spans="1:9" ht="12.75" customHeight="1">
      <c r="A3" s="51"/>
      <c r="B3" s="52" t="s">
        <v>26</v>
      </c>
      <c r="C3" s="53" t="s">
        <v>25</v>
      </c>
      <c r="D3" s="54">
        <v>10</v>
      </c>
      <c r="E3" s="55">
        <f>IF(C20&lt;=25%,D20,MIN(E20:F20))</f>
        <v>757.25</v>
      </c>
      <c r="F3" s="55">
        <f>MIN(H3:H17)</f>
        <v>697.5</v>
      </c>
      <c r="G3" s="6" t="s">
        <v>27</v>
      </c>
      <c r="H3" s="7">
        <v>697.5</v>
      </c>
      <c r="I3" s="8">
        <f t="shared" ref="I3:I17" si="0">IF(H3="","",(IF($C$20&lt;25%,"N/A",IF(H3&lt;=($D$20+$A$20),H3,"Descartado"))))</f>
        <v>697.5</v>
      </c>
    </row>
    <row r="4" spans="1:9">
      <c r="A4" s="51"/>
      <c r="B4" s="52"/>
      <c r="C4" s="53"/>
      <c r="D4" s="54"/>
      <c r="E4" s="55"/>
      <c r="F4" s="55"/>
      <c r="G4" s="6" t="s">
        <v>28</v>
      </c>
      <c r="H4" s="7">
        <v>817</v>
      </c>
      <c r="I4" s="8">
        <f t="shared" si="0"/>
        <v>817</v>
      </c>
    </row>
    <row r="5" spans="1:9">
      <c r="A5" s="51"/>
      <c r="B5" s="52"/>
      <c r="C5" s="53"/>
      <c r="D5" s="54"/>
      <c r="E5" s="55"/>
      <c r="F5" s="55"/>
      <c r="G5" s="6" t="s">
        <v>29</v>
      </c>
      <c r="H5" s="7">
        <v>1125</v>
      </c>
      <c r="I5" s="8" t="str">
        <f t="shared" si="0"/>
        <v>Descartado</v>
      </c>
    </row>
    <row r="6" spans="1:9">
      <c r="A6" s="51"/>
      <c r="B6" s="52"/>
      <c r="C6" s="53"/>
      <c r="D6" s="54"/>
      <c r="E6" s="55"/>
      <c r="F6" s="55"/>
      <c r="G6" s="6"/>
      <c r="H6" s="7"/>
      <c r="I6" s="8" t="str">
        <f t="shared" si="0"/>
        <v/>
      </c>
    </row>
    <row r="7" spans="1:9">
      <c r="A7" s="51"/>
      <c r="B7" s="52"/>
      <c r="C7" s="53"/>
      <c r="D7" s="54"/>
      <c r="E7" s="55"/>
      <c r="F7" s="55"/>
      <c r="G7" s="6"/>
      <c r="H7" s="7"/>
      <c r="I7" s="8" t="str">
        <f t="shared" si="0"/>
        <v/>
      </c>
    </row>
    <row r="8" spans="1:9">
      <c r="A8" s="51"/>
      <c r="B8" s="52"/>
      <c r="C8" s="53"/>
      <c r="D8" s="54"/>
      <c r="E8" s="55"/>
      <c r="F8" s="55"/>
      <c r="G8" s="6"/>
      <c r="H8" s="7"/>
      <c r="I8" s="8" t="str">
        <f t="shared" si="0"/>
        <v/>
      </c>
    </row>
    <row r="9" spans="1:9">
      <c r="A9" s="51"/>
      <c r="B9" s="52"/>
      <c r="C9" s="53"/>
      <c r="D9" s="54"/>
      <c r="E9" s="55"/>
      <c r="F9" s="55"/>
      <c r="G9" s="6"/>
      <c r="H9" s="7"/>
      <c r="I9" s="8" t="str">
        <f t="shared" si="0"/>
        <v/>
      </c>
    </row>
    <row r="10" spans="1:9">
      <c r="A10" s="51"/>
      <c r="B10" s="52"/>
      <c r="C10" s="53"/>
      <c r="D10" s="54"/>
      <c r="E10" s="55"/>
      <c r="F10" s="55"/>
      <c r="G10" s="6"/>
      <c r="H10" s="7"/>
      <c r="I10" s="8" t="str">
        <f t="shared" si="0"/>
        <v/>
      </c>
    </row>
    <row r="11" spans="1:9">
      <c r="A11" s="51"/>
      <c r="B11" s="52"/>
      <c r="C11" s="53"/>
      <c r="D11" s="54"/>
      <c r="E11" s="55"/>
      <c r="F11" s="55"/>
      <c r="G11" s="6"/>
      <c r="H11" s="7"/>
      <c r="I11" s="8" t="str">
        <f t="shared" si="0"/>
        <v/>
      </c>
    </row>
    <row r="12" spans="1:9">
      <c r="A12" s="51"/>
      <c r="B12" s="52"/>
      <c r="C12" s="53"/>
      <c r="D12" s="54"/>
      <c r="E12" s="55"/>
      <c r="F12" s="55"/>
      <c r="G12" s="6"/>
      <c r="H12" s="7"/>
      <c r="I12" s="8" t="str">
        <f t="shared" si="0"/>
        <v/>
      </c>
    </row>
    <row r="13" spans="1:9">
      <c r="A13" s="51"/>
      <c r="B13" s="52"/>
      <c r="C13" s="53"/>
      <c r="D13" s="54"/>
      <c r="E13" s="55"/>
      <c r="F13" s="55"/>
      <c r="G13" s="6"/>
      <c r="H13" s="7"/>
      <c r="I13" s="8" t="str">
        <f t="shared" si="0"/>
        <v/>
      </c>
    </row>
    <row r="14" spans="1:9">
      <c r="A14" s="51"/>
      <c r="B14" s="52"/>
      <c r="C14" s="53"/>
      <c r="D14" s="54"/>
      <c r="E14" s="55"/>
      <c r="F14" s="55"/>
      <c r="G14" s="6"/>
      <c r="H14" s="7"/>
      <c r="I14" s="8" t="str">
        <f t="shared" si="0"/>
        <v/>
      </c>
    </row>
    <row r="15" spans="1:9">
      <c r="A15" s="51"/>
      <c r="B15" s="52"/>
      <c r="C15" s="53"/>
      <c r="D15" s="54"/>
      <c r="E15" s="55"/>
      <c r="F15" s="55"/>
      <c r="G15" s="6"/>
      <c r="H15" s="7"/>
      <c r="I15" s="8" t="str">
        <f t="shared" si="0"/>
        <v/>
      </c>
    </row>
    <row r="16" spans="1:9">
      <c r="A16" s="51"/>
      <c r="B16" s="52"/>
      <c r="C16" s="53"/>
      <c r="D16" s="54"/>
      <c r="E16" s="55"/>
      <c r="F16" s="55"/>
      <c r="G16" s="6"/>
      <c r="H16" s="7"/>
      <c r="I16" s="8" t="str">
        <f t="shared" si="0"/>
        <v/>
      </c>
    </row>
    <row r="17" spans="1:11">
      <c r="A17" s="51"/>
      <c r="B17" s="52"/>
      <c r="C17" s="53"/>
      <c r="D17" s="54"/>
      <c r="E17" s="55"/>
      <c r="F17" s="55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9</v>
      </c>
      <c r="B19" s="5" t="s">
        <v>10</v>
      </c>
      <c r="C19" s="4" t="s">
        <v>11</v>
      </c>
      <c r="D19" s="16" t="s">
        <v>12</v>
      </c>
      <c r="E19" s="17" t="s">
        <v>13</v>
      </c>
      <c r="F19" s="16" t="s">
        <v>14</v>
      </c>
      <c r="G19" s="48" t="s">
        <v>15</v>
      </c>
      <c r="H19" s="48"/>
      <c r="I19" s="18"/>
    </row>
    <row r="20" spans="1:11">
      <c r="A20" s="19">
        <f>IF(B20&lt;2,"N/A",(STDEV(H3:H17)))</f>
        <v>220.56763890773564</v>
      </c>
      <c r="B20" s="19">
        <f>COUNT(H3:H17)</f>
        <v>3</v>
      </c>
      <c r="C20" s="20">
        <f>IF(B20&lt;2,"N/A",(A20/D20))</f>
        <v>0.25069347363437894</v>
      </c>
      <c r="D20" s="21">
        <f>ROUND(AVERAGE(H3:H17),2)</f>
        <v>879.83</v>
      </c>
      <c r="E20" s="22">
        <f>IFERROR(ROUND(IF(B20&lt;2,"N/A",(IF(C20&lt;=25%,"N/A",AVERAGE(I3:I17)))),2),"N/A")</f>
        <v>757.25</v>
      </c>
      <c r="F20" s="22">
        <f>ROUND(MEDIAN(H3:H17),2)</f>
        <v>817</v>
      </c>
      <c r="G20" s="23" t="str">
        <f>INDEX(G3:G17,MATCH(H20,H3:H17,0))</f>
        <v>NÃO ALTERE AS FÓRMULAS LTDA</v>
      </c>
      <c r="H20" s="24">
        <f>MIN(H3:H17)</f>
        <v>697.5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49"/>
      <c r="E22" s="49"/>
      <c r="F22" s="30"/>
      <c r="G22" s="31" t="s">
        <v>16</v>
      </c>
      <c r="H22" s="32">
        <f>IF(C20&lt;=25%,D20,MIN(E20:F20))</f>
        <v>757.25</v>
      </c>
    </row>
    <row r="23" spans="1:11">
      <c r="B23" s="25"/>
      <c r="C23" s="25"/>
      <c r="D23" s="49"/>
      <c r="E23" s="49"/>
      <c r="F23" s="33"/>
      <c r="G23" s="4" t="s">
        <v>17</v>
      </c>
      <c r="H23" s="24">
        <f>ROUND(H22,2)*D3</f>
        <v>7572.5</v>
      </c>
    </row>
    <row r="24" spans="1:11">
      <c r="B24" s="29"/>
      <c r="C24" s="29"/>
      <c r="D24" s="18"/>
      <c r="E24" s="18"/>
    </row>
    <row r="26" spans="1:11" ht="12.75" customHeight="1">
      <c r="A26" s="46" t="s">
        <v>18</v>
      </c>
      <c r="B26" s="46"/>
      <c r="C26" s="46"/>
      <c r="D26" s="46"/>
      <c r="E26" s="46"/>
      <c r="F26" s="46"/>
      <c r="G26" s="46"/>
      <c r="H26" s="46"/>
      <c r="I26" s="46"/>
    </row>
    <row r="27" spans="1:11" ht="12.75" customHeight="1">
      <c r="A27" s="46" t="s">
        <v>19</v>
      </c>
      <c r="B27" s="46"/>
      <c r="C27" s="46"/>
      <c r="D27" s="46"/>
      <c r="E27" s="46"/>
      <c r="F27" s="46"/>
      <c r="G27" s="46"/>
      <c r="H27" s="46"/>
      <c r="I27" s="46"/>
    </row>
    <row r="28" spans="1:11" ht="12.75" customHeight="1">
      <c r="A28" s="46" t="s">
        <v>20</v>
      </c>
      <c r="B28" s="46"/>
      <c r="C28" s="46"/>
      <c r="D28" s="46"/>
      <c r="E28" s="46"/>
      <c r="F28" s="46"/>
      <c r="G28" s="46"/>
      <c r="H28" s="46"/>
      <c r="I28" s="46"/>
    </row>
    <row r="29" spans="1:11" ht="12.75" customHeight="1">
      <c r="A29" s="46" t="s">
        <v>21</v>
      </c>
      <c r="B29" s="46"/>
      <c r="C29" s="46"/>
      <c r="D29" s="46"/>
      <c r="E29" s="46"/>
      <c r="F29" s="46"/>
      <c r="G29" s="46"/>
      <c r="H29" s="46"/>
      <c r="I29" s="46"/>
    </row>
    <row r="30" spans="1:11" ht="12.75" customHeight="1">
      <c r="A30" s="46" t="s">
        <v>22</v>
      </c>
      <c r="B30" s="46"/>
      <c r="C30" s="46"/>
      <c r="D30" s="46"/>
      <c r="E30" s="46"/>
      <c r="F30" s="46"/>
      <c r="G30" s="46"/>
      <c r="H30" s="46"/>
      <c r="I30" s="46"/>
    </row>
    <row r="31" spans="1:11" ht="12.75" customHeight="1">
      <c r="A31" s="46" t="s">
        <v>23</v>
      </c>
      <c r="B31" s="46"/>
      <c r="C31" s="46"/>
      <c r="D31" s="46"/>
      <c r="E31" s="46"/>
      <c r="F31" s="46"/>
      <c r="G31" s="46"/>
      <c r="H31" s="46"/>
      <c r="I31" s="46"/>
    </row>
    <row r="32" spans="1:11" ht="24.75" customHeight="1">
      <c r="A32" s="47" t="s">
        <v>24</v>
      </c>
      <c r="B32" s="47"/>
      <c r="C32" s="47"/>
      <c r="D32" s="47"/>
      <c r="E32" s="47"/>
      <c r="F32" s="47"/>
      <c r="G32" s="47"/>
      <c r="H32" s="47"/>
      <c r="I32" s="47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zoomScaleNormal="100" workbookViewId="0">
      <selection activeCell="H6" sqref="H6"/>
    </sheetView>
  </sheetViews>
  <sheetFormatPr defaultColWidth="9.140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1024" width="9.140625" style="1"/>
  </cols>
  <sheetData>
    <row r="1" spans="1:9" ht="15.75">
      <c r="A1" s="50" t="s">
        <v>0</v>
      </c>
      <c r="B1" s="50"/>
      <c r="C1" s="50"/>
      <c r="D1" s="50"/>
      <c r="E1" s="50"/>
      <c r="F1" s="50"/>
      <c r="G1" s="50"/>
      <c r="H1" s="50"/>
      <c r="I1" s="50"/>
    </row>
    <row r="2" spans="1:9" ht="25.5">
      <c r="A2" s="51" t="s">
        <v>72</v>
      </c>
      <c r="B2" s="2" t="s">
        <v>1</v>
      </c>
      <c r="C2" s="2" t="s">
        <v>2</v>
      </c>
      <c r="D2" s="2" t="s">
        <v>3</v>
      </c>
      <c r="E2" s="3" t="s">
        <v>4</v>
      </c>
      <c r="F2" s="3" t="s">
        <v>5</v>
      </c>
      <c r="G2" s="2" t="s">
        <v>6</v>
      </c>
      <c r="H2" s="4" t="s">
        <v>7</v>
      </c>
      <c r="I2" s="5" t="s">
        <v>8</v>
      </c>
    </row>
    <row r="3" spans="1:9" ht="12.75" customHeight="1">
      <c r="A3" s="51"/>
      <c r="B3" s="52" t="s">
        <v>65</v>
      </c>
      <c r="C3" s="53" t="s">
        <v>60</v>
      </c>
      <c r="D3" s="54">
        <v>32</v>
      </c>
      <c r="E3" s="55">
        <f>IF(C20&lt;=25%,D20,MIN(E20:F20))</f>
        <v>243.36</v>
      </c>
      <c r="F3" s="55">
        <f>MIN(H3:H17)</f>
        <v>224.63</v>
      </c>
      <c r="G3" s="6" t="s">
        <v>78</v>
      </c>
      <c r="H3" s="7">
        <v>657.69</v>
      </c>
      <c r="I3" s="8" t="str">
        <f t="shared" ref="I3:I17" si="0">IF(H3="","",(IF($C$20&lt;25%,"N/A",IF(H3&lt;=($D$20+$A$20),H3,"Descartado"))))</f>
        <v>Descartado</v>
      </c>
    </row>
    <row r="4" spans="1:9">
      <c r="A4" s="51"/>
      <c r="B4" s="52"/>
      <c r="C4" s="53"/>
      <c r="D4" s="54"/>
      <c r="E4" s="55"/>
      <c r="F4" s="55"/>
      <c r="G4" s="6" t="s">
        <v>79</v>
      </c>
      <c r="H4" s="7">
        <f>242.36*1.0814</f>
        <v>262.08810399999999</v>
      </c>
      <c r="I4" s="8">
        <f t="shared" si="0"/>
        <v>262.08810399999999</v>
      </c>
    </row>
    <row r="5" spans="1:9">
      <c r="A5" s="51"/>
      <c r="B5" s="52"/>
      <c r="C5" s="53"/>
      <c r="D5" s="54"/>
      <c r="E5" s="55"/>
      <c r="F5" s="55"/>
      <c r="G5" s="6" t="s">
        <v>81</v>
      </c>
      <c r="H5" s="7">
        <v>224.63</v>
      </c>
      <c r="I5" s="8">
        <f t="shared" si="0"/>
        <v>224.63</v>
      </c>
    </row>
    <row r="6" spans="1:9">
      <c r="A6" s="51"/>
      <c r="B6" s="52"/>
      <c r="C6" s="53"/>
      <c r="D6" s="54"/>
      <c r="E6" s="55"/>
      <c r="F6" s="55"/>
      <c r="G6" s="6"/>
      <c r="H6" s="7"/>
      <c r="I6" s="8" t="str">
        <f t="shared" si="0"/>
        <v/>
      </c>
    </row>
    <row r="7" spans="1:9">
      <c r="A7" s="51"/>
      <c r="B7" s="52"/>
      <c r="C7" s="53"/>
      <c r="D7" s="54"/>
      <c r="E7" s="55"/>
      <c r="F7" s="55"/>
      <c r="G7" s="6"/>
      <c r="H7" s="7"/>
      <c r="I7" s="8" t="str">
        <f t="shared" si="0"/>
        <v/>
      </c>
    </row>
    <row r="8" spans="1:9">
      <c r="A8" s="51"/>
      <c r="B8" s="52"/>
      <c r="C8" s="53"/>
      <c r="D8" s="54"/>
      <c r="E8" s="55"/>
      <c r="F8" s="55"/>
      <c r="G8" s="6"/>
      <c r="H8" s="7"/>
      <c r="I8" s="8" t="str">
        <f t="shared" si="0"/>
        <v/>
      </c>
    </row>
    <row r="9" spans="1:9">
      <c r="A9" s="51"/>
      <c r="B9" s="52"/>
      <c r="C9" s="53"/>
      <c r="D9" s="54"/>
      <c r="E9" s="55"/>
      <c r="F9" s="55"/>
      <c r="G9" s="6"/>
      <c r="H9" s="7"/>
      <c r="I9" s="8" t="str">
        <f t="shared" si="0"/>
        <v/>
      </c>
    </row>
    <row r="10" spans="1:9">
      <c r="A10" s="51"/>
      <c r="B10" s="52"/>
      <c r="C10" s="53"/>
      <c r="D10" s="54"/>
      <c r="E10" s="55"/>
      <c r="F10" s="55"/>
      <c r="G10" s="6"/>
      <c r="H10" s="7"/>
      <c r="I10" s="8" t="str">
        <f t="shared" si="0"/>
        <v/>
      </c>
    </row>
    <row r="11" spans="1:9">
      <c r="A11" s="51"/>
      <c r="B11" s="52"/>
      <c r="C11" s="53"/>
      <c r="D11" s="54"/>
      <c r="E11" s="55"/>
      <c r="F11" s="55"/>
      <c r="G11" s="6"/>
      <c r="H11" s="7"/>
      <c r="I11" s="8" t="str">
        <f t="shared" si="0"/>
        <v/>
      </c>
    </row>
    <row r="12" spans="1:9">
      <c r="A12" s="51"/>
      <c r="B12" s="52"/>
      <c r="C12" s="53"/>
      <c r="D12" s="54"/>
      <c r="E12" s="55"/>
      <c r="F12" s="55"/>
      <c r="G12" s="6"/>
      <c r="H12" s="7"/>
      <c r="I12" s="8" t="str">
        <f t="shared" si="0"/>
        <v/>
      </c>
    </row>
    <row r="13" spans="1:9">
      <c r="A13" s="51"/>
      <c r="B13" s="52"/>
      <c r="C13" s="53"/>
      <c r="D13" s="54"/>
      <c r="E13" s="55"/>
      <c r="F13" s="55"/>
      <c r="G13" s="6"/>
      <c r="H13" s="7"/>
      <c r="I13" s="8" t="str">
        <f t="shared" si="0"/>
        <v/>
      </c>
    </row>
    <row r="14" spans="1:9">
      <c r="A14" s="51"/>
      <c r="B14" s="52"/>
      <c r="C14" s="53"/>
      <c r="D14" s="54"/>
      <c r="E14" s="55"/>
      <c r="F14" s="55"/>
      <c r="G14" s="6"/>
      <c r="H14" s="7"/>
      <c r="I14" s="8" t="str">
        <f t="shared" si="0"/>
        <v/>
      </c>
    </row>
    <row r="15" spans="1:9">
      <c r="A15" s="51"/>
      <c r="B15" s="52"/>
      <c r="C15" s="53"/>
      <c r="D15" s="54"/>
      <c r="E15" s="55"/>
      <c r="F15" s="55"/>
      <c r="G15" s="6"/>
      <c r="H15" s="7"/>
      <c r="I15" s="8" t="str">
        <f t="shared" si="0"/>
        <v/>
      </c>
    </row>
    <row r="16" spans="1:9">
      <c r="A16" s="51"/>
      <c r="B16" s="52"/>
      <c r="C16" s="53"/>
      <c r="D16" s="54"/>
      <c r="E16" s="55"/>
      <c r="F16" s="55"/>
      <c r="G16" s="6"/>
      <c r="H16" s="7"/>
      <c r="I16" s="8" t="str">
        <f t="shared" si="0"/>
        <v/>
      </c>
    </row>
    <row r="17" spans="1:11">
      <c r="A17" s="51"/>
      <c r="B17" s="52"/>
      <c r="C17" s="53"/>
      <c r="D17" s="54"/>
      <c r="E17" s="55"/>
      <c r="F17" s="55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9</v>
      </c>
      <c r="B19" s="5" t="s">
        <v>10</v>
      </c>
      <c r="C19" s="4" t="s">
        <v>11</v>
      </c>
      <c r="D19" s="16" t="s">
        <v>12</v>
      </c>
      <c r="E19" s="17" t="s">
        <v>13</v>
      </c>
      <c r="F19" s="16" t="s">
        <v>14</v>
      </c>
      <c r="G19" s="48" t="s">
        <v>15</v>
      </c>
      <c r="H19" s="48"/>
      <c r="I19" s="18"/>
    </row>
    <row r="20" spans="1:11">
      <c r="A20" s="19">
        <f>IF(B20&lt;2,"N/A",(STDEV(H3:H17)))</f>
        <v>239.94615134583483</v>
      </c>
      <c r="B20" s="19">
        <f>COUNT(H3:H17)</f>
        <v>3</v>
      </c>
      <c r="C20" s="20">
        <f>IF(B20&lt;2,"N/A",(A20/D20))</f>
        <v>0.62900398811396652</v>
      </c>
      <c r="D20" s="21">
        <f>ROUND(AVERAGE(H3:H17),2)</f>
        <v>381.47</v>
      </c>
      <c r="E20" s="22">
        <f>IFERROR(ROUND(IF(B20&lt;2,"N/A",(IF(C20&lt;=25%,"N/A",AVERAGE(I3:I17)))),2),"N/A")</f>
        <v>243.36</v>
      </c>
      <c r="F20" s="22">
        <f>ROUND(MEDIAN(H3:H17),2)</f>
        <v>262.08999999999997</v>
      </c>
      <c r="G20" s="23" t="str">
        <f>INDEX(G3:G17,MATCH(H20,H3:H17,0))</f>
        <v>TRE-SC - UNIMED - Contr. 21/18 - Ap. 20/21</v>
      </c>
      <c r="H20" s="24">
        <f>MIN(H3:H17)</f>
        <v>224.63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49"/>
      <c r="E22" s="49"/>
      <c r="F22" s="30"/>
      <c r="G22" s="31" t="s">
        <v>16</v>
      </c>
      <c r="H22" s="32">
        <f>IF(C20&lt;=25%,D20,MIN(E20:F20))</f>
        <v>243.36</v>
      </c>
    </row>
    <row r="23" spans="1:11">
      <c r="B23" s="25"/>
      <c r="C23" s="25"/>
      <c r="D23" s="49"/>
      <c r="E23" s="49"/>
      <c r="F23" s="33"/>
      <c r="G23" s="4" t="s">
        <v>17</v>
      </c>
      <c r="H23" s="24">
        <f>ROUND(H22,2)*D3</f>
        <v>7787.52</v>
      </c>
    </row>
    <row r="24" spans="1:11">
      <c r="B24" s="29"/>
      <c r="C24" s="29"/>
      <c r="D24" s="18"/>
      <c r="E24" s="18"/>
    </row>
    <row r="26" spans="1:11" ht="12.75" customHeight="1">
      <c r="A26" s="46" t="s">
        <v>18</v>
      </c>
      <c r="B26" s="46"/>
      <c r="C26" s="46"/>
      <c r="D26" s="46"/>
      <c r="E26" s="46"/>
      <c r="F26" s="46"/>
      <c r="G26" s="46"/>
      <c r="H26" s="46"/>
      <c r="I26" s="46"/>
    </row>
    <row r="27" spans="1:11" ht="12.75" customHeight="1">
      <c r="A27" s="46" t="s">
        <v>19</v>
      </c>
      <c r="B27" s="46"/>
      <c r="C27" s="46"/>
      <c r="D27" s="46"/>
      <c r="E27" s="46"/>
      <c r="F27" s="46"/>
      <c r="G27" s="46"/>
      <c r="H27" s="46"/>
      <c r="I27" s="46"/>
    </row>
    <row r="28" spans="1:11" ht="12.75" customHeight="1">
      <c r="A28" s="46" t="s">
        <v>20</v>
      </c>
      <c r="B28" s="46"/>
      <c r="C28" s="46"/>
      <c r="D28" s="46"/>
      <c r="E28" s="46"/>
      <c r="F28" s="46"/>
      <c r="G28" s="46"/>
      <c r="H28" s="46"/>
      <c r="I28" s="46"/>
    </row>
    <row r="29" spans="1:11" ht="12.75" customHeight="1">
      <c r="A29" s="46" t="s">
        <v>21</v>
      </c>
      <c r="B29" s="46"/>
      <c r="C29" s="46"/>
      <c r="D29" s="46"/>
      <c r="E29" s="46"/>
      <c r="F29" s="46"/>
      <c r="G29" s="46"/>
      <c r="H29" s="46"/>
      <c r="I29" s="46"/>
    </row>
    <row r="30" spans="1:11" ht="12.75" customHeight="1">
      <c r="A30" s="46" t="s">
        <v>22</v>
      </c>
      <c r="B30" s="46"/>
      <c r="C30" s="46"/>
      <c r="D30" s="46"/>
      <c r="E30" s="46"/>
      <c r="F30" s="46"/>
      <c r="G30" s="46"/>
      <c r="H30" s="46"/>
      <c r="I30" s="46"/>
    </row>
    <row r="31" spans="1:11" ht="12.75" customHeight="1">
      <c r="A31" s="46" t="s">
        <v>23</v>
      </c>
      <c r="B31" s="46"/>
      <c r="C31" s="46"/>
      <c r="D31" s="46"/>
      <c r="E31" s="46"/>
      <c r="F31" s="46"/>
      <c r="G31" s="46"/>
      <c r="H31" s="46"/>
      <c r="I31" s="46"/>
    </row>
    <row r="32" spans="1:11" ht="24.75" customHeight="1">
      <c r="A32" s="47" t="s">
        <v>24</v>
      </c>
      <c r="B32" s="47"/>
      <c r="C32" s="47"/>
      <c r="D32" s="47"/>
      <c r="E32" s="47"/>
      <c r="F32" s="47"/>
      <c r="G32" s="47"/>
      <c r="H32" s="47"/>
      <c r="I32" s="47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r:id="rId1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zoomScaleNormal="100" workbookViewId="0">
      <selection activeCell="A18" sqref="A18"/>
    </sheetView>
  </sheetViews>
  <sheetFormatPr defaultColWidth="9.140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1024" width="9.140625" style="1"/>
  </cols>
  <sheetData>
    <row r="1" spans="1:9" ht="15.75">
      <c r="A1" s="50" t="s">
        <v>0</v>
      </c>
      <c r="B1" s="50"/>
      <c r="C1" s="50"/>
      <c r="D1" s="50"/>
      <c r="E1" s="50"/>
      <c r="F1" s="50"/>
      <c r="G1" s="50"/>
      <c r="H1" s="50"/>
      <c r="I1" s="50"/>
    </row>
    <row r="2" spans="1:9" ht="25.5">
      <c r="A2" s="51" t="s">
        <v>49</v>
      </c>
      <c r="B2" s="2" t="s">
        <v>1</v>
      </c>
      <c r="C2" s="2" t="s">
        <v>2</v>
      </c>
      <c r="D2" s="2" t="s">
        <v>3</v>
      </c>
      <c r="E2" s="3" t="s">
        <v>4</v>
      </c>
      <c r="F2" s="3" t="s">
        <v>5</v>
      </c>
      <c r="G2" s="2" t="s">
        <v>6</v>
      </c>
      <c r="H2" s="4" t="s">
        <v>7</v>
      </c>
      <c r="I2" s="5" t="s">
        <v>8</v>
      </c>
    </row>
    <row r="3" spans="1:9" ht="12.75" customHeight="1">
      <c r="A3" s="51"/>
      <c r="B3" s="52" t="s">
        <v>26</v>
      </c>
      <c r="C3" s="53" t="s">
        <v>25</v>
      </c>
      <c r="D3" s="54">
        <v>10</v>
      </c>
      <c r="E3" s="55">
        <f>IF(C20&lt;=25%,D20,MIN(E20:F20))</f>
        <v>757.25</v>
      </c>
      <c r="F3" s="55">
        <f>MIN(H3:H17)</f>
        <v>697.5</v>
      </c>
      <c r="G3" s="6" t="s">
        <v>27</v>
      </c>
      <c r="H3" s="7">
        <v>697.5</v>
      </c>
      <c r="I3" s="8">
        <f t="shared" ref="I3:I17" si="0">IF(H3="","",(IF($C$20&lt;25%,"N/A",IF(H3&lt;=($D$20+$A$20),H3,"Descartado"))))</f>
        <v>697.5</v>
      </c>
    </row>
    <row r="4" spans="1:9">
      <c r="A4" s="51"/>
      <c r="B4" s="52"/>
      <c r="C4" s="53"/>
      <c r="D4" s="54"/>
      <c r="E4" s="55"/>
      <c r="F4" s="55"/>
      <c r="G4" s="6" t="s">
        <v>28</v>
      </c>
      <c r="H4" s="7">
        <v>817</v>
      </c>
      <c r="I4" s="8">
        <f t="shared" si="0"/>
        <v>817</v>
      </c>
    </row>
    <row r="5" spans="1:9">
      <c r="A5" s="51"/>
      <c r="B5" s="52"/>
      <c r="C5" s="53"/>
      <c r="D5" s="54"/>
      <c r="E5" s="55"/>
      <c r="F5" s="55"/>
      <c r="G5" s="6" t="s">
        <v>29</v>
      </c>
      <c r="H5" s="7">
        <v>1125</v>
      </c>
      <c r="I5" s="8" t="str">
        <f t="shared" si="0"/>
        <v>Descartado</v>
      </c>
    </row>
    <row r="6" spans="1:9">
      <c r="A6" s="51"/>
      <c r="B6" s="52"/>
      <c r="C6" s="53"/>
      <c r="D6" s="54"/>
      <c r="E6" s="55"/>
      <c r="F6" s="55"/>
      <c r="G6" s="6"/>
      <c r="H6" s="7"/>
      <c r="I6" s="8" t="str">
        <f t="shared" si="0"/>
        <v/>
      </c>
    </row>
    <row r="7" spans="1:9">
      <c r="A7" s="51"/>
      <c r="B7" s="52"/>
      <c r="C7" s="53"/>
      <c r="D7" s="54"/>
      <c r="E7" s="55"/>
      <c r="F7" s="55"/>
      <c r="G7" s="6"/>
      <c r="H7" s="7"/>
      <c r="I7" s="8" t="str">
        <f t="shared" si="0"/>
        <v/>
      </c>
    </row>
    <row r="8" spans="1:9">
      <c r="A8" s="51"/>
      <c r="B8" s="52"/>
      <c r="C8" s="53"/>
      <c r="D8" s="54"/>
      <c r="E8" s="55"/>
      <c r="F8" s="55"/>
      <c r="G8" s="6"/>
      <c r="H8" s="7"/>
      <c r="I8" s="8" t="str">
        <f t="shared" si="0"/>
        <v/>
      </c>
    </row>
    <row r="9" spans="1:9">
      <c r="A9" s="51"/>
      <c r="B9" s="52"/>
      <c r="C9" s="53"/>
      <c r="D9" s="54"/>
      <c r="E9" s="55"/>
      <c r="F9" s="55"/>
      <c r="G9" s="6"/>
      <c r="H9" s="7"/>
      <c r="I9" s="8" t="str">
        <f t="shared" si="0"/>
        <v/>
      </c>
    </row>
    <row r="10" spans="1:9">
      <c r="A10" s="51"/>
      <c r="B10" s="52"/>
      <c r="C10" s="53"/>
      <c r="D10" s="54"/>
      <c r="E10" s="55"/>
      <c r="F10" s="55"/>
      <c r="G10" s="6"/>
      <c r="H10" s="7"/>
      <c r="I10" s="8" t="str">
        <f t="shared" si="0"/>
        <v/>
      </c>
    </row>
    <row r="11" spans="1:9">
      <c r="A11" s="51"/>
      <c r="B11" s="52"/>
      <c r="C11" s="53"/>
      <c r="D11" s="54"/>
      <c r="E11" s="55"/>
      <c r="F11" s="55"/>
      <c r="G11" s="6"/>
      <c r="H11" s="7"/>
      <c r="I11" s="8" t="str">
        <f t="shared" si="0"/>
        <v/>
      </c>
    </row>
    <row r="12" spans="1:9">
      <c r="A12" s="51"/>
      <c r="B12" s="52"/>
      <c r="C12" s="53"/>
      <c r="D12" s="54"/>
      <c r="E12" s="55"/>
      <c r="F12" s="55"/>
      <c r="G12" s="6"/>
      <c r="H12" s="7"/>
      <c r="I12" s="8" t="str">
        <f t="shared" si="0"/>
        <v/>
      </c>
    </row>
    <row r="13" spans="1:9">
      <c r="A13" s="51"/>
      <c r="B13" s="52"/>
      <c r="C13" s="53"/>
      <c r="D13" s="54"/>
      <c r="E13" s="55"/>
      <c r="F13" s="55"/>
      <c r="G13" s="6"/>
      <c r="H13" s="7"/>
      <c r="I13" s="8" t="str">
        <f t="shared" si="0"/>
        <v/>
      </c>
    </row>
    <row r="14" spans="1:9">
      <c r="A14" s="51"/>
      <c r="B14" s="52"/>
      <c r="C14" s="53"/>
      <c r="D14" s="54"/>
      <c r="E14" s="55"/>
      <c r="F14" s="55"/>
      <c r="G14" s="6"/>
      <c r="H14" s="7"/>
      <c r="I14" s="8" t="str">
        <f t="shared" si="0"/>
        <v/>
      </c>
    </row>
    <row r="15" spans="1:9">
      <c r="A15" s="51"/>
      <c r="B15" s="52"/>
      <c r="C15" s="53"/>
      <c r="D15" s="54"/>
      <c r="E15" s="55"/>
      <c r="F15" s="55"/>
      <c r="G15" s="6"/>
      <c r="H15" s="7"/>
      <c r="I15" s="8" t="str">
        <f t="shared" si="0"/>
        <v/>
      </c>
    </row>
    <row r="16" spans="1:9">
      <c r="A16" s="51"/>
      <c r="B16" s="52"/>
      <c r="C16" s="53"/>
      <c r="D16" s="54"/>
      <c r="E16" s="55"/>
      <c r="F16" s="55"/>
      <c r="G16" s="6"/>
      <c r="H16" s="7"/>
      <c r="I16" s="8" t="str">
        <f t="shared" si="0"/>
        <v/>
      </c>
    </row>
    <row r="17" spans="1:11">
      <c r="A17" s="51"/>
      <c r="B17" s="52"/>
      <c r="C17" s="53"/>
      <c r="D17" s="54"/>
      <c r="E17" s="55"/>
      <c r="F17" s="55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9</v>
      </c>
      <c r="B19" s="5" t="s">
        <v>10</v>
      </c>
      <c r="C19" s="4" t="s">
        <v>11</v>
      </c>
      <c r="D19" s="16" t="s">
        <v>12</v>
      </c>
      <c r="E19" s="17" t="s">
        <v>13</v>
      </c>
      <c r="F19" s="16" t="s">
        <v>14</v>
      </c>
      <c r="G19" s="48" t="s">
        <v>15</v>
      </c>
      <c r="H19" s="48"/>
      <c r="I19" s="18"/>
    </row>
    <row r="20" spans="1:11">
      <c r="A20" s="19">
        <f>IF(B20&lt;2,"N/A",(STDEV(H3:H17)))</f>
        <v>220.56763890773564</v>
      </c>
      <c r="B20" s="19">
        <f>COUNT(H3:H17)</f>
        <v>3</v>
      </c>
      <c r="C20" s="20">
        <f>IF(B20&lt;2,"N/A",(A20/D20))</f>
        <v>0.25069347363437894</v>
      </c>
      <c r="D20" s="21">
        <f>ROUND(AVERAGE(H3:H17),2)</f>
        <v>879.83</v>
      </c>
      <c r="E20" s="22">
        <f>IFERROR(ROUND(IF(B20&lt;2,"N/A",(IF(C20&lt;=25%,"N/A",AVERAGE(I3:I17)))),2),"N/A")</f>
        <v>757.25</v>
      </c>
      <c r="F20" s="22">
        <f>ROUND(MEDIAN(H3:H17),2)</f>
        <v>817</v>
      </c>
      <c r="G20" s="23" t="str">
        <f>INDEX(G3:G17,MATCH(H20,H3:H17,0))</f>
        <v>NÃO ALTERE AS FÓRMULAS LTDA</v>
      </c>
      <c r="H20" s="24">
        <f>MIN(H3:H17)</f>
        <v>697.5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49"/>
      <c r="E22" s="49"/>
      <c r="F22" s="30"/>
      <c r="G22" s="31" t="s">
        <v>16</v>
      </c>
      <c r="H22" s="32">
        <f>IF(C20&lt;=25%,D20,MIN(E20:F20))</f>
        <v>757.25</v>
      </c>
    </row>
    <row r="23" spans="1:11">
      <c r="B23" s="25"/>
      <c r="C23" s="25"/>
      <c r="D23" s="49"/>
      <c r="E23" s="49"/>
      <c r="F23" s="33"/>
      <c r="G23" s="4" t="s">
        <v>17</v>
      </c>
      <c r="H23" s="24">
        <f>ROUND(H22,2)*D3</f>
        <v>7572.5</v>
      </c>
    </row>
    <row r="24" spans="1:11">
      <c r="B24" s="29"/>
      <c r="C24" s="29"/>
      <c r="D24" s="18"/>
      <c r="E24" s="18"/>
    </row>
    <row r="26" spans="1:11" ht="12.75" customHeight="1">
      <c r="A26" s="46" t="s">
        <v>18</v>
      </c>
      <c r="B26" s="46"/>
      <c r="C26" s="46"/>
      <c r="D26" s="46"/>
      <c r="E26" s="46"/>
      <c r="F26" s="46"/>
      <c r="G26" s="46"/>
      <c r="H26" s="46"/>
      <c r="I26" s="46"/>
    </row>
    <row r="27" spans="1:11" ht="12.75" customHeight="1">
      <c r="A27" s="46" t="s">
        <v>19</v>
      </c>
      <c r="B27" s="46"/>
      <c r="C27" s="46"/>
      <c r="D27" s="46"/>
      <c r="E27" s="46"/>
      <c r="F27" s="46"/>
      <c r="G27" s="46"/>
      <c r="H27" s="46"/>
      <c r="I27" s="46"/>
    </row>
    <row r="28" spans="1:11" ht="12.75" customHeight="1">
      <c r="A28" s="46" t="s">
        <v>20</v>
      </c>
      <c r="B28" s="46"/>
      <c r="C28" s="46"/>
      <c r="D28" s="46"/>
      <c r="E28" s="46"/>
      <c r="F28" s="46"/>
      <c r="G28" s="46"/>
      <c r="H28" s="46"/>
      <c r="I28" s="46"/>
    </row>
    <row r="29" spans="1:11" ht="12.75" customHeight="1">
      <c r="A29" s="46" t="s">
        <v>21</v>
      </c>
      <c r="B29" s="46"/>
      <c r="C29" s="46"/>
      <c r="D29" s="46"/>
      <c r="E29" s="46"/>
      <c r="F29" s="46"/>
      <c r="G29" s="46"/>
      <c r="H29" s="46"/>
      <c r="I29" s="46"/>
    </row>
    <row r="30" spans="1:11" ht="12.75" customHeight="1">
      <c r="A30" s="46" t="s">
        <v>22</v>
      </c>
      <c r="B30" s="46"/>
      <c r="C30" s="46"/>
      <c r="D30" s="46"/>
      <c r="E30" s="46"/>
      <c r="F30" s="46"/>
      <c r="G30" s="46"/>
      <c r="H30" s="46"/>
      <c r="I30" s="46"/>
    </row>
    <row r="31" spans="1:11" ht="12.75" customHeight="1">
      <c r="A31" s="46" t="s">
        <v>23</v>
      </c>
      <c r="B31" s="46"/>
      <c r="C31" s="46"/>
      <c r="D31" s="46"/>
      <c r="E31" s="46"/>
      <c r="F31" s="46"/>
      <c r="G31" s="46"/>
      <c r="H31" s="46"/>
      <c r="I31" s="46"/>
    </row>
    <row r="32" spans="1:11" ht="24.75" customHeight="1">
      <c r="A32" s="47" t="s">
        <v>24</v>
      </c>
      <c r="B32" s="47"/>
      <c r="C32" s="47"/>
      <c r="D32" s="47"/>
      <c r="E32" s="47"/>
      <c r="F32" s="47"/>
      <c r="G32" s="47"/>
      <c r="H32" s="47"/>
      <c r="I32" s="47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zoomScaleNormal="100" workbookViewId="0">
      <selection activeCell="A18" sqref="A18"/>
    </sheetView>
  </sheetViews>
  <sheetFormatPr defaultColWidth="9.140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1024" width="9.140625" style="1"/>
  </cols>
  <sheetData>
    <row r="1" spans="1:9" ht="15.75">
      <c r="A1" s="50" t="s">
        <v>0</v>
      </c>
      <c r="B1" s="50"/>
      <c r="C1" s="50"/>
      <c r="D1" s="50"/>
      <c r="E1" s="50"/>
      <c r="F1" s="50"/>
      <c r="G1" s="50"/>
      <c r="H1" s="50"/>
      <c r="I1" s="50"/>
    </row>
    <row r="2" spans="1:9" ht="25.5">
      <c r="A2" s="51" t="s">
        <v>50</v>
      </c>
      <c r="B2" s="2" t="s">
        <v>1</v>
      </c>
      <c r="C2" s="2" t="s">
        <v>2</v>
      </c>
      <c r="D2" s="2" t="s">
        <v>3</v>
      </c>
      <c r="E2" s="3" t="s">
        <v>4</v>
      </c>
      <c r="F2" s="3" t="s">
        <v>5</v>
      </c>
      <c r="G2" s="2" t="s">
        <v>6</v>
      </c>
      <c r="H2" s="4" t="s">
        <v>7</v>
      </c>
      <c r="I2" s="5" t="s">
        <v>8</v>
      </c>
    </row>
    <row r="3" spans="1:9" ht="12.75" customHeight="1">
      <c r="A3" s="51"/>
      <c r="B3" s="52" t="s">
        <v>26</v>
      </c>
      <c r="C3" s="53" t="s">
        <v>25</v>
      </c>
      <c r="D3" s="54">
        <v>10</v>
      </c>
      <c r="E3" s="55">
        <f>IF(C20&lt;=25%,D20,MIN(E20:F20))</f>
        <v>757.25</v>
      </c>
      <c r="F3" s="55">
        <f>MIN(H3:H17)</f>
        <v>697.5</v>
      </c>
      <c r="G3" s="6" t="s">
        <v>27</v>
      </c>
      <c r="H3" s="7">
        <v>697.5</v>
      </c>
      <c r="I3" s="8">
        <f t="shared" ref="I3:I17" si="0">IF(H3="","",(IF($C$20&lt;25%,"N/A",IF(H3&lt;=($D$20+$A$20),H3,"Descartado"))))</f>
        <v>697.5</v>
      </c>
    </row>
    <row r="4" spans="1:9">
      <c r="A4" s="51"/>
      <c r="B4" s="52"/>
      <c r="C4" s="53"/>
      <c r="D4" s="54"/>
      <c r="E4" s="55"/>
      <c r="F4" s="55"/>
      <c r="G4" s="6" t="s">
        <v>28</v>
      </c>
      <c r="H4" s="7">
        <v>817</v>
      </c>
      <c r="I4" s="8">
        <f t="shared" si="0"/>
        <v>817</v>
      </c>
    </row>
    <row r="5" spans="1:9">
      <c r="A5" s="51"/>
      <c r="B5" s="52"/>
      <c r="C5" s="53"/>
      <c r="D5" s="54"/>
      <c r="E5" s="55"/>
      <c r="F5" s="55"/>
      <c r="G5" s="6" t="s">
        <v>29</v>
      </c>
      <c r="H5" s="7">
        <v>1125</v>
      </c>
      <c r="I5" s="8" t="str">
        <f t="shared" si="0"/>
        <v>Descartado</v>
      </c>
    </row>
    <row r="6" spans="1:9">
      <c r="A6" s="51"/>
      <c r="B6" s="52"/>
      <c r="C6" s="53"/>
      <c r="D6" s="54"/>
      <c r="E6" s="55"/>
      <c r="F6" s="55"/>
      <c r="G6" s="6"/>
      <c r="H6" s="7"/>
      <c r="I6" s="8" t="str">
        <f t="shared" si="0"/>
        <v/>
      </c>
    </row>
    <row r="7" spans="1:9">
      <c r="A7" s="51"/>
      <c r="B7" s="52"/>
      <c r="C7" s="53"/>
      <c r="D7" s="54"/>
      <c r="E7" s="55"/>
      <c r="F7" s="55"/>
      <c r="G7" s="6"/>
      <c r="H7" s="7"/>
      <c r="I7" s="8" t="str">
        <f t="shared" si="0"/>
        <v/>
      </c>
    </row>
    <row r="8" spans="1:9">
      <c r="A8" s="51"/>
      <c r="B8" s="52"/>
      <c r="C8" s="53"/>
      <c r="D8" s="54"/>
      <c r="E8" s="55"/>
      <c r="F8" s="55"/>
      <c r="G8" s="6"/>
      <c r="H8" s="7"/>
      <c r="I8" s="8" t="str">
        <f t="shared" si="0"/>
        <v/>
      </c>
    </row>
    <row r="9" spans="1:9">
      <c r="A9" s="51"/>
      <c r="B9" s="52"/>
      <c r="C9" s="53"/>
      <c r="D9" s="54"/>
      <c r="E9" s="55"/>
      <c r="F9" s="55"/>
      <c r="G9" s="6"/>
      <c r="H9" s="7"/>
      <c r="I9" s="8" t="str">
        <f t="shared" si="0"/>
        <v/>
      </c>
    </row>
    <row r="10" spans="1:9">
      <c r="A10" s="51"/>
      <c r="B10" s="52"/>
      <c r="C10" s="53"/>
      <c r="D10" s="54"/>
      <c r="E10" s="55"/>
      <c r="F10" s="55"/>
      <c r="G10" s="6"/>
      <c r="H10" s="7"/>
      <c r="I10" s="8" t="str">
        <f t="shared" si="0"/>
        <v/>
      </c>
    </row>
    <row r="11" spans="1:9">
      <c r="A11" s="51"/>
      <c r="B11" s="52"/>
      <c r="C11" s="53"/>
      <c r="D11" s="54"/>
      <c r="E11" s="55"/>
      <c r="F11" s="55"/>
      <c r="G11" s="6"/>
      <c r="H11" s="7"/>
      <c r="I11" s="8" t="str">
        <f t="shared" si="0"/>
        <v/>
      </c>
    </row>
    <row r="12" spans="1:9">
      <c r="A12" s="51"/>
      <c r="B12" s="52"/>
      <c r="C12" s="53"/>
      <c r="D12" s="54"/>
      <c r="E12" s="55"/>
      <c r="F12" s="55"/>
      <c r="G12" s="6"/>
      <c r="H12" s="7"/>
      <c r="I12" s="8" t="str">
        <f t="shared" si="0"/>
        <v/>
      </c>
    </row>
    <row r="13" spans="1:9">
      <c r="A13" s="51"/>
      <c r="B13" s="52"/>
      <c r="C13" s="53"/>
      <c r="D13" s="54"/>
      <c r="E13" s="55"/>
      <c r="F13" s="55"/>
      <c r="G13" s="6"/>
      <c r="H13" s="7"/>
      <c r="I13" s="8" t="str">
        <f t="shared" si="0"/>
        <v/>
      </c>
    </row>
    <row r="14" spans="1:9">
      <c r="A14" s="51"/>
      <c r="B14" s="52"/>
      <c r="C14" s="53"/>
      <c r="D14" s="54"/>
      <c r="E14" s="55"/>
      <c r="F14" s="55"/>
      <c r="G14" s="6"/>
      <c r="H14" s="7"/>
      <c r="I14" s="8" t="str">
        <f t="shared" si="0"/>
        <v/>
      </c>
    </row>
    <row r="15" spans="1:9">
      <c r="A15" s="51"/>
      <c r="B15" s="52"/>
      <c r="C15" s="53"/>
      <c r="D15" s="54"/>
      <c r="E15" s="55"/>
      <c r="F15" s="55"/>
      <c r="G15" s="6"/>
      <c r="H15" s="7"/>
      <c r="I15" s="8" t="str">
        <f t="shared" si="0"/>
        <v/>
      </c>
    </row>
    <row r="16" spans="1:9">
      <c r="A16" s="51"/>
      <c r="B16" s="52"/>
      <c r="C16" s="53"/>
      <c r="D16" s="54"/>
      <c r="E16" s="55"/>
      <c r="F16" s="55"/>
      <c r="G16" s="6"/>
      <c r="H16" s="7"/>
      <c r="I16" s="8" t="str">
        <f t="shared" si="0"/>
        <v/>
      </c>
    </row>
    <row r="17" spans="1:11">
      <c r="A17" s="51"/>
      <c r="B17" s="52"/>
      <c r="C17" s="53"/>
      <c r="D17" s="54"/>
      <c r="E17" s="55"/>
      <c r="F17" s="55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9</v>
      </c>
      <c r="B19" s="5" t="s">
        <v>10</v>
      </c>
      <c r="C19" s="4" t="s">
        <v>11</v>
      </c>
      <c r="D19" s="16" t="s">
        <v>12</v>
      </c>
      <c r="E19" s="17" t="s">
        <v>13</v>
      </c>
      <c r="F19" s="16" t="s">
        <v>14</v>
      </c>
      <c r="G19" s="48" t="s">
        <v>15</v>
      </c>
      <c r="H19" s="48"/>
      <c r="I19" s="18"/>
    </row>
    <row r="20" spans="1:11">
      <c r="A20" s="19">
        <f>IF(B20&lt;2,"N/A",(STDEV(H3:H17)))</f>
        <v>220.56763890773564</v>
      </c>
      <c r="B20" s="19">
        <f>COUNT(H3:H17)</f>
        <v>3</v>
      </c>
      <c r="C20" s="20">
        <f>IF(B20&lt;2,"N/A",(A20/D20))</f>
        <v>0.25069347363437894</v>
      </c>
      <c r="D20" s="21">
        <f>ROUND(AVERAGE(H3:H17),2)</f>
        <v>879.83</v>
      </c>
      <c r="E20" s="22">
        <f>IFERROR(ROUND(IF(B20&lt;2,"N/A",(IF(C20&lt;=25%,"N/A",AVERAGE(I3:I17)))),2),"N/A")</f>
        <v>757.25</v>
      </c>
      <c r="F20" s="22">
        <f>ROUND(MEDIAN(H3:H17),2)</f>
        <v>817</v>
      </c>
      <c r="G20" s="23" t="str">
        <f>INDEX(G3:G17,MATCH(H20,H3:H17,0))</f>
        <v>NÃO ALTERE AS FÓRMULAS LTDA</v>
      </c>
      <c r="H20" s="24">
        <f>MIN(H3:H17)</f>
        <v>697.5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49"/>
      <c r="E22" s="49"/>
      <c r="F22" s="30"/>
      <c r="G22" s="31" t="s">
        <v>16</v>
      </c>
      <c r="H22" s="32">
        <f>IF(C20&lt;=25%,D20,MIN(E20:F20))</f>
        <v>757.25</v>
      </c>
    </row>
    <row r="23" spans="1:11">
      <c r="B23" s="25"/>
      <c r="C23" s="25"/>
      <c r="D23" s="49"/>
      <c r="E23" s="49"/>
      <c r="F23" s="33"/>
      <c r="G23" s="4" t="s">
        <v>17</v>
      </c>
      <c r="H23" s="24">
        <f>ROUND(H22,2)*D3</f>
        <v>7572.5</v>
      </c>
    </row>
    <row r="24" spans="1:11">
      <c r="B24" s="29"/>
      <c r="C24" s="29"/>
      <c r="D24" s="18"/>
      <c r="E24" s="18"/>
    </row>
    <row r="26" spans="1:11" ht="12.75" customHeight="1">
      <c r="A26" s="46" t="s">
        <v>18</v>
      </c>
      <c r="B26" s="46"/>
      <c r="C26" s="46"/>
      <c r="D26" s="46"/>
      <c r="E26" s="46"/>
      <c r="F26" s="46"/>
      <c r="G26" s="46"/>
      <c r="H26" s="46"/>
      <c r="I26" s="46"/>
    </row>
    <row r="27" spans="1:11" ht="12.75" customHeight="1">
      <c r="A27" s="46" t="s">
        <v>19</v>
      </c>
      <c r="B27" s="46"/>
      <c r="C27" s="46"/>
      <c r="D27" s="46"/>
      <c r="E27" s="46"/>
      <c r="F27" s="46"/>
      <c r="G27" s="46"/>
      <c r="H27" s="46"/>
      <c r="I27" s="46"/>
    </row>
    <row r="28" spans="1:11" ht="12.75" customHeight="1">
      <c r="A28" s="46" t="s">
        <v>20</v>
      </c>
      <c r="B28" s="46"/>
      <c r="C28" s="46"/>
      <c r="D28" s="46"/>
      <c r="E28" s="46"/>
      <c r="F28" s="46"/>
      <c r="G28" s="46"/>
      <c r="H28" s="46"/>
      <c r="I28" s="46"/>
    </row>
    <row r="29" spans="1:11" ht="12.75" customHeight="1">
      <c r="A29" s="46" t="s">
        <v>21</v>
      </c>
      <c r="B29" s="46"/>
      <c r="C29" s="46"/>
      <c r="D29" s="46"/>
      <c r="E29" s="46"/>
      <c r="F29" s="46"/>
      <c r="G29" s="46"/>
      <c r="H29" s="46"/>
      <c r="I29" s="46"/>
    </row>
    <row r="30" spans="1:11" ht="12.75" customHeight="1">
      <c r="A30" s="46" t="s">
        <v>22</v>
      </c>
      <c r="B30" s="46"/>
      <c r="C30" s="46"/>
      <c r="D30" s="46"/>
      <c r="E30" s="46"/>
      <c r="F30" s="46"/>
      <c r="G30" s="46"/>
      <c r="H30" s="46"/>
      <c r="I30" s="46"/>
    </row>
    <row r="31" spans="1:11" ht="12.75" customHeight="1">
      <c r="A31" s="46" t="s">
        <v>23</v>
      </c>
      <c r="B31" s="46"/>
      <c r="C31" s="46"/>
      <c r="D31" s="46"/>
      <c r="E31" s="46"/>
      <c r="F31" s="46"/>
      <c r="G31" s="46"/>
      <c r="H31" s="46"/>
      <c r="I31" s="46"/>
    </row>
    <row r="32" spans="1:11" ht="24.75" customHeight="1">
      <c r="A32" s="47" t="s">
        <v>24</v>
      </c>
      <c r="B32" s="47"/>
      <c r="C32" s="47"/>
      <c r="D32" s="47"/>
      <c r="E32" s="47"/>
      <c r="F32" s="47"/>
      <c r="G32" s="47"/>
      <c r="H32" s="47"/>
      <c r="I32" s="47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zoomScaleNormal="100" workbookViewId="0">
      <selection activeCell="A18" sqref="A18"/>
    </sheetView>
  </sheetViews>
  <sheetFormatPr defaultColWidth="9.140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1024" width="9.140625" style="1"/>
  </cols>
  <sheetData>
    <row r="1" spans="1:9" ht="15.75">
      <c r="A1" s="50" t="s">
        <v>0</v>
      </c>
      <c r="B1" s="50"/>
      <c r="C1" s="50"/>
      <c r="D1" s="50"/>
      <c r="E1" s="50"/>
      <c r="F1" s="50"/>
      <c r="G1" s="50"/>
      <c r="H1" s="50"/>
      <c r="I1" s="50"/>
    </row>
    <row r="2" spans="1:9" ht="25.5">
      <c r="A2" s="51" t="s">
        <v>51</v>
      </c>
      <c r="B2" s="2" t="s">
        <v>1</v>
      </c>
      <c r="C2" s="2" t="s">
        <v>2</v>
      </c>
      <c r="D2" s="2" t="s">
        <v>3</v>
      </c>
      <c r="E2" s="3" t="s">
        <v>4</v>
      </c>
      <c r="F2" s="3" t="s">
        <v>5</v>
      </c>
      <c r="G2" s="2" t="s">
        <v>6</v>
      </c>
      <c r="H2" s="4" t="s">
        <v>7</v>
      </c>
      <c r="I2" s="5" t="s">
        <v>8</v>
      </c>
    </row>
    <row r="3" spans="1:9" ht="12.75" customHeight="1">
      <c r="A3" s="51"/>
      <c r="B3" s="52" t="s">
        <v>26</v>
      </c>
      <c r="C3" s="53" t="s">
        <v>25</v>
      </c>
      <c r="D3" s="54">
        <v>10</v>
      </c>
      <c r="E3" s="55">
        <f>IF(C20&lt;=25%,D20,MIN(E20:F20))</f>
        <v>757.25</v>
      </c>
      <c r="F3" s="55">
        <f>MIN(H3:H17)</f>
        <v>697.5</v>
      </c>
      <c r="G3" s="6" t="s">
        <v>27</v>
      </c>
      <c r="H3" s="7">
        <v>697.5</v>
      </c>
      <c r="I3" s="8">
        <f t="shared" ref="I3:I17" si="0">IF(H3="","",(IF($C$20&lt;25%,"N/A",IF(H3&lt;=($D$20+$A$20),H3,"Descartado"))))</f>
        <v>697.5</v>
      </c>
    </row>
    <row r="4" spans="1:9">
      <c r="A4" s="51"/>
      <c r="B4" s="52"/>
      <c r="C4" s="53"/>
      <c r="D4" s="54"/>
      <c r="E4" s="55"/>
      <c r="F4" s="55"/>
      <c r="G4" s="6" t="s">
        <v>28</v>
      </c>
      <c r="H4" s="7">
        <v>817</v>
      </c>
      <c r="I4" s="8">
        <f t="shared" si="0"/>
        <v>817</v>
      </c>
    </row>
    <row r="5" spans="1:9">
      <c r="A5" s="51"/>
      <c r="B5" s="52"/>
      <c r="C5" s="53"/>
      <c r="D5" s="54"/>
      <c r="E5" s="55"/>
      <c r="F5" s="55"/>
      <c r="G5" s="6" t="s">
        <v>29</v>
      </c>
      <c r="H5" s="7">
        <v>1125</v>
      </c>
      <c r="I5" s="8" t="str">
        <f t="shared" si="0"/>
        <v>Descartado</v>
      </c>
    </row>
    <row r="6" spans="1:9">
      <c r="A6" s="51"/>
      <c r="B6" s="52"/>
      <c r="C6" s="53"/>
      <c r="D6" s="54"/>
      <c r="E6" s="55"/>
      <c r="F6" s="55"/>
      <c r="G6" s="6"/>
      <c r="H6" s="7"/>
      <c r="I6" s="8" t="str">
        <f t="shared" si="0"/>
        <v/>
      </c>
    </row>
    <row r="7" spans="1:9">
      <c r="A7" s="51"/>
      <c r="B7" s="52"/>
      <c r="C7" s="53"/>
      <c r="D7" s="54"/>
      <c r="E7" s="55"/>
      <c r="F7" s="55"/>
      <c r="G7" s="6"/>
      <c r="H7" s="7"/>
      <c r="I7" s="8" t="str">
        <f t="shared" si="0"/>
        <v/>
      </c>
    </row>
    <row r="8" spans="1:9">
      <c r="A8" s="51"/>
      <c r="B8" s="52"/>
      <c r="C8" s="53"/>
      <c r="D8" s="54"/>
      <c r="E8" s="55"/>
      <c r="F8" s="55"/>
      <c r="G8" s="6"/>
      <c r="H8" s="7"/>
      <c r="I8" s="8" t="str">
        <f t="shared" si="0"/>
        <v/>
      </c>
    </row>
    <row r="9" spans="1:9">
      <c r="A9" s="51"/>
      <c r="B9" s="52"/>
      <c r="C9" s="53"/>
      <c r="D9" s="54"/>
      <c r="E9" s="55"/>
      <c r="F9" s="55"/>
      <c r="G9" s="6"/>
      <c r="H9" s="7"/>
      <c r="I9" s="8" t="str">
        <f t="shared" si="0"/>
        <v/>
      </c>
    </row>
    <row r="10" spans="1:9">
      <c r="A10" s="51"/>
      <c r="B10" s="52"/>
      <c r="C10" s="53"/>
      <c r="D10" s="54"/>
      <c r="E10" s="55"/>
      <c r="F10" s="55"/>
      <c r="G10" s="6"/>
      <c r="H10" s="7"/>
      <c r="I10" s="8" t="str">
        <f t="shared" si="0"/>
        <v/>
      </c>
    </row>
    <row r="11" spans="1:9">
      <c r="A11" s="51"/>
      <c r="B11" s="52"/>
      <c r="C11" s="53"/>
      <c r="D11" s="54"/>
      <c r="E11" s="55"/>
      <c r="F11" s="55"/>
      <c r="G11" s="6"/>
      <c r="H11" s="7"/>
      <c r="I11" s="8" t="str">
        <f t="shared" si="0"/>
        <v/>
      </c>
    </row>
    <row r="12" spans="1:9">
      <c r="A12" s="51"/>
      <c r="B12" s="52"/>
      <c r="C12" s="53"/>
      <c r="D12" s="54"/>
      <c r="E12" s="55"/>
      <c r="F12" s="55"/>
      <c r="G12" s="6"/>
      <c r="H12" s="7"/>
      <c r="I12" s="8" t="str">
        <f t="shared" si="0"/>
        <v/>
      </c>
    </row>
    <row r="13" spans="1:9">
      <c r="A13" s="51"/>
      <c r="B13" s="52"/>
      <c r="C13" s="53"/>
      <c r="D13" s="54"/>
      <c r="E13" s="55"/>
      <c r="F13" s="55"/>
      <c r="G13" s="6"/>
      <c r="H13" s="7"/>
      <c r="I13" s="8" t="str">
        <f t="shared" si="0"/>
        <v/>
      </c>
    </row>
    <row r="14" spans="1:9">
      <c r="A14" s="51"/>
      <c r="B14" s="52"/>
      <c r="C14" s="53"/>
      <c r="D14" s="54"/>
      <c r="E14" s="55"/>
      <c r="F14" s="55"/>
      <c r="G14" s="6"/>
      <c r="H14" s="7"/>
      <c r="I14" s="8" t="str">
        <f t="shared" si="0"/>
        <v/>
      </c>
    </row>
    <row r="15" spans="1:9">
      <c r="A15" s="51"/>
      <c r="B15" s="52"/>
      <c r="C15" s="53"/>
      <c r="D15" s="54"/>
      <c r="E15" s="55"/>
      <c r="F15" s="55"/>
      <c r="G15" s="6"/>
      <c r="H15" s="7"/>
      <c r="I15" s="8" t="str">
        <f t="shared" si="0"/>
        <v/>
      </c>
    </row>
    <row r="16" spans="1:9">
      <c r="A16" s="51"/>
      <c r="B16" s="52"/>
      <c r="C16" s="53"/>
      <c r="D16" s="54"/>
      <c r="E16" s="55"/>
      <c r="F16" s="55"/>
      <c r="G16" s="6"/>
      <c r="H16" s="7"/>
      <c r="I16" s="8" t="str">
        <f t="shared" si="0"/>
        <v/>
      </c>
    </row>
    <row r="17" spans="1:11">
      <c r="A17" s="51"/>
      <c r="B17" s="52"/>
      <c r="C17" s="53"/>
      <c r="D17" s="54"/>
      <c r="E17" s="55"/>
      <c r="F17" s="55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9</v>
      </c>
      <c r="B19" s="5" t="s">
        <v>10</v>
      </c>
      <c r="C19" s="4" t="s">
        <v>11</v>
      </c>
      <c r="D19" s="16" t="s">
        <v>12</v>
      </c>
      <c r="E19" s="17" t="s">
        <v>13</v>
      </c>
      <c r="F19" s="16" t="s">
        <v>14</v>
      </c>
      <c r="G19" s="48" t="s">
        <v>15</v>
      </c>
      <c r="H19" s="48"/>
      <c r="I19" s="18"/>
    </row>
    <row r="20" spans="1:11">
      <c r="A20" s="19">
        <f>IF(B20&lt;2,"N/A",(STDEV(H3:H17)))</f>
        <v>220.56763890773564</v>
      </c>
      <c r="B20" s="19">
        <f>COUNT(H3:H17)</f>
        <v>3</v>
      </c>
      <c r="C20" s="20">
        <f>IF(B20&lt;2,"N/A",(A20/D20))</f>
        <v>0.25069347363437894</v>
      </c>
      <c r="D20" s="21">
        <f>ROUND(AVERAGE(H3:H17),2)</f>
        <v>879.83</v>
      </c>
      <c r="E20" s="22">
        <f>IFERROR(ROUND(IF(B20&lt;2,"N/A",(IF(C20&lt;=25%,"N/A",AVERAGE(I3:I17)))),2),"N/A")</f>
        <v>757.25</v>
      </c>
      <c r="F20" s="22">
        <f>ROUND(MEDIAN(H3:H17),2)</f>
        <v>817</v>
      </c>
      <c r="G20" s="23" t="str">
        <f>INDEX(G3:G17,MATCH(H20,H3:H17,0))</f>
        <v>NÃO ALTERE AS FÓRMULAS LTDA</v>
      </c>
      <c r="H20" s="24">
        <f>MIN(H3:H17)</f>
        <v>697.5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49"/>
      <c r="E22" s="49"/>
      <c r="F22" s="30"/>
      <c r="G22" s="31" t="s">
        <v>16</v>
      </c>
      <c r="H22" s="32">
        <f>IF(C20&lt;=25%,D20,MIN(E20:F20))</f>
        <v>757.25</v>
      </c>
    </row>
    <row r="23" spans="1:11">
      <c r="B23" s="25"/>
      <c r="C23" s="25"/>
      <c r="D23" s="49"/>
      <c r="E23" s="49"/>
      <c r="F23" s="33"/>
      <c r="G23" s="4" t="s">
        <v>17</v>
      </c>
      <c r="H23" s="24">
        <f>ROUND(H22,2)*D3</f>
        <v>7572.5</v>
      </c>
    </row>
    <row r="24" spans="1:11">
      <c r="B24" s="29"/>
      <c r="C24" s="29"/>
      <c r="D24" s="18"/>
      <c r="E24" s="18"/>
    </row>
    <row r="26" spans="1:11" ht="12.75" customHeight="1">
      <c r="A26" s="46" t="s">
        <v>18</v>
      </c>
      <c r="B26" s="46"/>
      <c r="C26" s="46"/>
      <c r="D26" s="46"/>
      <c r="E26" s="46"/>
      <c r="F26" s="46"/>
      <c r="G26" s="46"/>
      <c r="H26" s="46"/>
      <c r="I26" s="46"/>
    </row>
    <row r="27" spans="1:11" ht="12.75" customHeight="1">
      <c r="A27" s="46" t="s">
        <v>19</v>
      </c>
      <c r="B27" s="46"/>
      <c r="C27" s="46"/>
      <c r="D27" s="46"/>
      <c r="E27" s="46"/>
      <c r="F27" s="46"/>
      <c r="G27" s="46"/>
      <c r="H27" s="46"/>
      <c r="I27" s="46"/>
    </row>
    <row r="28" spans="1:11" ht="12.75" customHeight="1">
      <c r="A28" s="46" t="s">
        <v>20</v>
      </c>
      <c r="B28" s="46"/>
      <c r="C28" s="46"/>
      <c r="D28" s="46"/>
      <c r="E28" s="46"/>
      <c r="F28" s="46"/>
      <c r="G28" s="46"/>
      <c r="H28" s="46"/>
      <c r="I28" s="46"/>
    </row>
    <row r="29" spans="1:11" ht="12.75" customHeight="1">
      <c r="A29" s="46" t="s">
        <v>21</v>
      </c>
      <c r="B29" s="46"/>
      <c r="C29" s="46"/>
      <c r="D29" s="46"/>
      <c r="E29" s="46"/>
      <c r="F29" s="46"/>
      <c r="G29" s="46"/>
      <c r="H29" s="46"/>
      <c r="I29" s="46"/>
    </row>
    <row r="30" spans="1:11" ht="12.75" customHeight="1">
      <c r="A30" s="46" t="s">
        <v>22</v>
      </c>
      <c r="B30" s="46"/>
      <c r="C30" s="46"/>
      <c r="D30" s="46"/>
      <c r="E30" s="46"/>
      <c r="F30" s="46"/>
      <c r="G30" s="46"/>
      <c r="H30" s="46"/>
      <c r="I30" s="46"/>
    </row>
    <row r="31" spans="1:11" ht="12.75" customHeight="1">
      <c r="A31" s="46" t="s">
        <v>23</v>
      </c>
      <c r="B31" s="46"/>
      <c r="C31" s="46"/>
      <c r="D31" s="46"/>
      <c r="E31" s="46"/>
      <c r="F31" s="46"/>
      <c r="G31" s="46"/>
      <c r="H31" s="46"/>
      <c r="I31" s="46"/>
    </row>
    <row r="32" spans="1:11" ht="24.75" customHeight="1">
      <c r="A32" s="47" t="s">
        <v>24</v>
      </c>
      <c r="B32" s="47"/>
      <c r="C32" s="47"/>
      <c r="D32" s="47"/>
      <c r="E32" s="47"/>
      <c r="F32" s="47"/>
      <c r="G32" s="47"/>
      <c r="H32" s="47"/>
      <c r="I32" s="47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zoomScaleNormal="100" workbookViewId="0">
      <selection activeCell="A18" sqref="A18"/>
    </sheetView>
  </sheetViews>
  <sheetFormatPr defaultColWidth="9.140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1024" width="9.140625" style="1"/>
  </cols>
  <sheetData>
    <row r="1" spans="1:9" ht="15.75">
      <c r="A1" s="50" t="s">
        <v>0</v>
      </c>
      <c r="B1" s="50"/>
      <c r="C1" s="50"/>
      <c r="D1" s="50"/>
      <c r="E1" s="50"/>
      <c r="F1" s="50"/>
      <c r="G1" s="50"/>
      <c r="H1" s="50"/>
      <c r="I1" s="50"/>
    </row>
    <row r="2" spans="1:9" ht="25.5">
      <c r="A2" s="51" t="s">
        <v>52</v>
      </c>
      <c r="B2" s="2" t="s">
        <v>1</v>
      </c>
      <c r="C2" s="2" t="s">
        <v>2</v>
      </c>
      <c r="D2" s="2" t="s">
        <v>3</v>
      </c>
      <c r="E2" s="3" t="s">
        <v>4</v>
      </c>
      <c r="F2" s="3" t="s">
        <v>5</v>
      </c>
      <c r="G2" s="2" t="s">
        <v>6</v>
      </c>
      <c r="H2" s="4" t="s">
        <v>7</v>
      </c>
      <c r="I2" s="5" t="s">
        <v>8</v>
      </c>
    </row>
    <row r="3" spans="1:9" ht="12.75" customHeight="1">
      <c r="A3" s="51"/>
      <c r="B3" s="52" t="s">
        <v>26</v>
      </c>
      <c r="C3" s="53" t="s">
        <v>25</v>
      </c>
      <c r="D3" s="54">
        <v>10</v>
      </c>
      <c r="E3" s="55">
        <f>IF(C20&lt;=25%,D20,MIN(E20:F20))</f>
        <v>757.25</v>
      </c>
      <c r="F3" s="55">
        <f>MIN(H3:H17)</f>
        <v>697.5</v>
      </c>
      <c r="G3" s="6" t="s">
        <v>27</v>
      </c>
      <c r="H3" s="7">
        <v>697.5</v>
      </c>
      <c r="I3" s="8">
        <f t="shared" ref="I3:I17" si="0">IF(H3="","",(IF($C$20&lt;25%,"N/A",IF(H3&lt;=($D$20+$A$20),H3,"Descartado"))))</f>
        <v>697.5</v>
      </c>
    </row>
    <row r="4" spans="1:9">
      <c r="A4" s="51"/>
      <c r="B4" s="52"/>
      <c r="C4" s="53"/>
      <c r="D4" s="54"/>
      <c r="E4" s="55"/>
      <c r="F4" s="55"/>
      <c r="G4" s="6" t="s">
        <v>28</v>
      </c>
      <c r="H4" s="7">
        <v>817</v>
      </c>
      <c r="I4" s="8">
        <f t="shared" si="0"/>
        <v>817</v>
      </c>
    </row>
    <row r="5" spans="1:9">
      <c r="A5" s="51"/>
      <c r="B5" s="52"/>
      <c r="C5" s="53"/>
      <c r="D5" s="54"/>
      <c r="E5" s="55"/>
      <c r="F5" s="55"/>
      <c r="G5" s="6" t="s">
        <v>29</v>
      </c>
      <c r="H5" s="7">
        <v>1125</v>
      </c>
      <c r="I5" s="8" t="str">
        <f t="shared" si="0"/>
        <v>Descartado</v>
      </c>
    </row>
    <row r="6" spans="1:9">
      <c r="A6" s="51"/>
      <c r="B6" s="52"/>
      <c r="C6" s="53"/>
      <c r="D6" s="54"/>
      <c r="E6" s="55"/>
      <c r="F6" s="55"/>
      <c r="G6" s="6"/>
      <c r="H6" s="7"/>
      <c r="I6" s="8" t="str">
        <f t="shared" si="0"/>
        <v/>
      </c>
    </row>
    <row r="7" spans="1:9">
      <c r="A7" s="51"/>
      <c r="B7" s="52"/>
      <c r="C7" s="53"/>
      <c r="D7" s="54"/>
      <c r="E7" s="55"/>
      <c r="F7" s="55"/>
      <c r="G7" s="6"/>
      <c r="H7" s="7"/>
      <c r="I7" s="8" t="str">
        <f t="shared" si="0"/>
        <v/>
      </c>
    </row>
    <row r="8" spans="1:9">
      <c r="A8" s="51"/>
      <c r="B8" s="52"/>
      <c r="C8" s="53"/>
      <c r="D8" s="54"/>
      <c r="E8" s="55"/>
      <c r="F8" s="55"/>
      <c r="G8" s="6"/>
      <c r="H8" s="7"/>
      <c r="I8" s="8" t="str">
        <f t="shared" si="0"/>
        <v/>
      </c>
    </row>
    <row r="9" spans="1:9">
      <c r="A9" s="51"/>
      <c r="B9" s="52"/>
      <c r="C9" s="53"/>
      <c r="D9" s="54"/>
      <c r="E9" s="55"/>
      <c r="F9" s="55"/>
      <c r="G9" s="6"/>
      <c r="H9" s="7"/>
      <c r="I9" s="8" t="str">
        <f t="shared" si="0"/>
        <v/>
      </c>
    </row>
    <row r="10" spans="1:9">
      <c r="A10" s="51"/>
      <c r="B10" s="52"/>
      <c r="C10" s="53"/>
      <c r="D10" s="54"/>
      <c r="E10" s="55"/>
      <c r="F10" s="55"/>
      <c r="G10" s="6"/>
      <c r="H10" s="7"/>
      <c r="I10" s="8" t="str">
        <f t="shared" si="0"/>
        <v/>
      </c>
    </row>
    <row r="11" spans="1:9">
      <c r="A11" s="51"/>
      <c r="B11" s="52"/>
      <c r="C11" s="53"/>
      <c r="D11" s="54"/>
      <c r="E11" s="55"/>
      <c r="F11" s="55"/>
      <c r="G11" s="6"/>
      <c r="H11" s="7"/>
      <c r="I11" s="8" t="str">
        <f t="shared" si="0"/>
        <v/>
      </c>
    </row>
    <row r="12" spans="1:9">
      <c r="A12" s="51"/>
      <c r="B12" s="52"/>
      <c r="C12" s="53"/>
      <c r="D12" s="54"/>
      <c r="E12" s="55"/>
      <c r="F12" s="55"/>
      <c r="G12" s="6"/>
      <c r="H12" s="7"/>
      <c r="I12" s="8" t="str">
        <f t="shared" si="0"/>
        <v/>
      </c>
    </row>
    <row r="13" spans="1:9">
      <c r="A13" s="51"/>
      <c r="B13" s="52"/>
      <c r="C13" s="53"/>
      <c r="D13" s="54"/>
      <c r="E13" s="55"/>
      <c r="F13" s="55"/>
      <c r="G13" s="6"/>
      <c r="H13" s="7"/>
      <c r="I13" s="8" t="str">
        <f t="shared" si="0"/>
        <v/>
      </c>
    </row>
    <row r="14" spans="1:9">
      <c r="A14" s="51"/>
      <c r="B14" s="52"/>
      <c r="C14" s="53"/>
      <c r="D14" s="54"/>
      <c r="E14" s="55"/>
      <c r="F14" s="55"/>
      <c r="G14" s="6"/>
      <c r="H14" s="7"/>
      <c r="I14" s="8" t="str">
        <f t="shared" si="0"/>
        <v/>
      </c>
    </row>
    <row r="15" spans="1:9">
      <c r="A15" s="51"/>
      <c r="B15" s="52"/>
      <c r="C15" s="53"/>
      <c r="D15" s="54"/>
      <c r="E15" s="55"/>
      <c r="F15" s="55"/>
      <c r="G15" s="6"/>
      <c r="H15" s="7"/>
      <c r="I15" s="8" t="str">
        <f t="shared" si="0"/>
        <v/>
      </c>
    </row>
    <row r="16" spans="1:9">
      <c r="A16" s="51"/>
      <c r="B16" s="52"/>
      <c r="C16" s="53"/>
      <c r="D16" s="54"/>
      <c r="E16" s="55"/>
      <c r="F16" s="55"/>
      <c r="G16" s="6"/>
      <c r="H16" s="7"/>
      <c r="I16" s="8" t="str">
        <f t="shared" si="0"/>
        <v/>
      </c>
    </row>
    <row r="17" spans="1:11">
      <c r="A17" s="51"/>
      <c r="B17" s="52"/>
      <c r="C17" s="53"/>
      <c r="D17" s="54"/>
      <c r="E17" s="55"/>
      <c r="F17" s="55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9</v>
      </c>
      <c r="B19" s="5" t="s">
        <v>10</v>
      </c>
      <c r="C19" s="4" t="s">
        <v>11</v>
      </c>
      <c r="D19" s="16" t="s">
        <v>12</v>
      </c>
      <c r="E19" s="17" t="s">
        <v>13</v>
      </c>
      <c r="F19" s="16" t="s">
        <v>14</v>
      </c>
      <c r="G19" s="48" t="s">
        <v>15</v>
      </c>
      <c r="H19" s="48"/>
      <c r="I19" s="18"/>
    </row>
    <row r="20" spans="1:11">
      <c r="A20" s="19">
        <f>IF(B20&lt;2,"N/A",(STDEV(H3:H17)))</f>
        <v>220.56763890773564</v>
      </c>
      <c r="B20" s="19">
        <f>COUNT(H3:H17)</f>
        <v>3</v>
      </c>
      <c r="C20" s="20">
        <f>IF(B20&lt;2,"N/A",(A20/D20))</f>
        <v>0.25069347363437894</v>
      </c>
      <c r="D20" s="21">
        <f>ROUND(AVERAGE(H3:H17),2)</f>
        <v>879.83</v>
      </c>
      <c r="E20" s="22">
        <f>IFERROR(ROUND(IF(B20&lt;2,"N/A",(IF(C20&lt;=25%,"N/A",AVERAGE(I3:I17)))),2),"N/A")</f>
        <v>757.25</v>
      </c>
      <c r="F20" s="22">
        <f>ROUND(MEDIAN(H3:H17),2)</f>
        <v>817</v>
      </c>
      <c r="G20" s="23" t="str">
        <f>INDEX(G3:G17,MATCH(H20,H3:H17,0))</f>
        <v>NÃO ALTERE AS FÓRMULAS LTDA</v>
      </c>
      <c r="H20" s="24">
        <f>MIN(H3:H17)</f>
        <v>697.5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49"/>
      <c r="E22" s="49"/>
      <c r="F22" s="30"/>
      <c r="G22" s="31" t="s">
        <v>16</v>
      </c>
      <c r="H22" s="32">
        <f>IF(C20&lt;=25%,D20,MIN(E20:F20))</f>
        <v>757.25</v>
      </c>
    </row>
    <row r="23" spans="1:11">
      <c r="B23" s="25"/>
      <c r="C23" s="25"/>
      <c r="D23" s="49"/>
      <c r="E23" s="49"/>
      <c r="F23" s="33"/>
      <c r="G23" s="4" t="s">
        <v>17</v>
      </c>
      <c r="H23" s="24">
        <f>ROUND(H22,2)*D3</f>
        <v>7572.5</v>
      </c>
    </row>
    <row r="24" spans="1:11">
      <c r="B24" s="29"/>
      <c r="C24" s="29"/>
      <c r="D24" s="18"/>
      <c r="E24" s="18"/>
    </row>
    <row r="26" spans="1:11" ht="12.75" customHeight="1">
      <c r="A26" s="46" t="s">
        <v>18</v>
      </c>
      <c r="B26" s="46"/>
      <c r="C26" s="46"/>
      <c r="D26" s="46"/>
      <c r="E26" s="46"/>
      <c r="F26" s="46"/>
      <c r="G26" s="46"/>
      <c r="H26" s="46"/>
      <c r="I26" s="46"/>
    </row>
    <row r="27" spans="1:11" ht="12.75" customHeight="1">
      <c r="A27" s="46" t="s">
        <v>19</v>
      </c>
      <c r="B27" s="46"/>
      <c r="C27" s="46"/>
      <c r="D27" s="46"/>
      <c r="E27" s="46"/>
      <c r="F27" s="46"/>
      <c r="G27" s="46"/>
      <c r="H27" s="46"/>
      <c r="I27" s="46"/>
    </row>
    <row r="28" spans="1:11" ht="12.75" customHeight="1">
      <c r="A28" s="46" t="s">
        <v>20</v>
      </c>
      <c r="B28" s="46"/>
      <c r="C28" s="46"/>
      <c r="D28" s="46"/>
      <c r="E28" s="46"/>
      <c r="F28" s="46"/>
      <c r="G28" s="46"/>
      <c r="H28" s="46"/>
      <c r="I28" s="46"/>
    </row>
    <row r="29" spans="1:11" ht="12.75" customHeight="1">
      <c r="A29" s="46" t="s">
        <v>21</v>
      </c>
      <c r="B29" s="46"/>
      <c r="C29" s="46"/>
      <c r="D29" s="46"/>
      <c r="E29" s="46"/>
      <c r="F29" s="46"/>
      <c r="G29" s="46"/>
      <c r="H29" s="46"/>
      <c r="I29" s="46"/>
    </row>
    <row r="30" spans="1:11" ht="12.75" customHeight="1">
      <c r="A30" s="46" t="s">
        <v>22</v>
      </c>
      <c r="B30" s="46"/>
      <c r="C30" s="46"/>
      <c r="D30" s="46"/>
      <c r="E30" s="46"/>
      <c r="F30" s="46"/>
      <c r="G30" s="46"/>
      <c r="H30" s="46"/>
      <c r="I30" s="46"/>
    </row>
    <row r="31" spans="1:11" ht="12.75" customHeight="1">
      <c r="A31" s="46" t="s">
        <v>23</v>
      </c>
      <c r="B31" s="46"/>
      <c r="C31" s="46"/>
      <c r="D31" s="46"/>
      <c r="E31" s="46"/>
      <c r="F31" s="46"/>
      <c r="G31" s="46"/>
      <c r="H31" s="46"/>
      <c r="I31" s="46"/>
    </row>
    <row r="32" spans="1:11" ht="24.75" customHeight="1">
      <c r="A32" s="47" t="s">
        <v>24</v>
      </c>
      <c r="B32" s="47"/>
      <c r="C32" s="47"/>
      <c r="D32" s="47"/>
      <c r="E32" s="47"/>
      <c r="F32" s="47"/>
      <c r="G32" s="47"/>
      <c r="H32" s="47"/>
      <c r="I32" s="47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zoomScaleNormal="100" workbookViewId="0">
      <selection activeCell="A18" sqref="A18"/>
    </sheetView>
  </sheetViews>
  <sheetFormatPr defaultColWidth="9.140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1024" width="9.140625" style="1"/>
  </cols>
  <sheetData>
    <row r="1" spans="1:9" ht="15.75">
      <c r="A1" s="50" t="s">
        <v>0</v>
      </c>
      <c r="B1" s="50"/>
      <c r="C1" s="50"/>
      <c r="D1" s="50"/>
      <c r="E1" s="50"/>
      <c r="F1" s="50"/>
      <c r="G1" s="50"/>
      <c r="H1" s="50"/>
      <c r="I1" s="50"/>
    </row>
    <row r="2" spans="1:9" ht="25.5">
      <c r="A2" s="51" t="s">
        <v>53</v>
      </c>
      <c r="B2" s="2" t="s">
        <v>1</v>
      </c>
      <c r="C2" s="2" t="s">
        <v>2</v>
      </c>
      <c r="D2" s="2" t="s">
        <v>3</v>
      </c>
      <c r="E2" s="3" t="s">
        <v>4</v>
      </c>
      <c r="F2" s="3" t="s">
        <v>5</v>
      </c>
      <c r="G2" s="2" t="s">
        <v>6</v>
      </c>
      <c r="H2" s="4" t="s">
        <v>7</v>
      </c>
      <c r="I2" s="5" t="s">
        <v>8</v>
      </c>
    </row>
    <row r="3" spans="1:9" ht="12.75" customHeight="1">
      <c r="A3" s="51"/>
      <c r="B3" s="52" t="s">
        <v>26</v>
      </c>
      <c r="C3" s="53" t="s">
        <v>25</v>
      </c>
      <c r="D3" s="54">
        <v>10</v>
      </c>
      <c r="E3" s="55">
        <f>IF(C20&lt;=25%,D20,MIN(E20:F20))</f>
        <v>757.25</v>
      </c>
      <c r="F3" s="55">
        <f>MIN(H3:H17)</f>
        <v>697.5</v>
      </c>
      <c r="G3" s="6" t="s">
        <v>27</v>
      </c>
      <c r="H3" s="7">
        <v>697.5</v>
      </c>
      <c r="I3" s="8">
        <f t="shared" ref="I3:I17" si="0">IF(H3="","",(IF($C$20&lt;25%,"N/A",IF(H3&lt;=($D$20+$A$20),H3,"Descartado"))))</f>
        <v>697.5</v>
      </c>
    </row>
    <row r="4" spans="1:9">
      <c r="A4" s="51"/>
      <c r="B4" s="52"/>
      <c r="C4" s="53"/>
      <c r="D4" s="54"/>
      <c r="E4" s="55"/>
      <c r="F4" s="55"/>
      <c r="G4" s="6" t="s">
        <v>28</v>
      </c>
      <c r="H4" s="7">
        <v>817</v>
      </c>
      <c r="I4" s="8">
        <f t="shared" si="0"/>
        <v>817</v>
      </c>
    </row>
    <row r="5" spans="1:9">
      <c r="A5" s="51"/>
      <c r="B5" s="52"/>
      <c r="C5" s="53"/>
      <c r="D5" s="54"/>
      <c r="E5" s="55"/>
      <c r="F5" s="55"/>
      <c r="G5" s="6" t="s">
        <v>29</v>
      </c>
      <c r="H5" s="7">
        <v>1125</v>
      </c>
      <c r="I5" s="8" t="str">
        <f t="shared" si="0"/>
        <v>Descartado</v>
      </c>
    </row>
    <row r="6" spans="1:9">
      <c r="A6" s="51"/>
      <c r="B6" s="52"/>
      <c r="C6" s="53"/>
      <c r="D6" s="54"/>
      <c r="E6" s="55"/>
      <c r="F6" s="55"/>
      <c r="G6" s="6"/>
      <c r="H6" s="7"/>
      <c r="I6" s="8" t="str">
        <f t="shared" si="0"/>
        <v/>
      </c>
    </row>
    <row r="7" spans="1:9">
      <c r="A7" s="51"/>
      <c r="B7" s="52"/>
      <c r="C7" s="53"/>
      <c r="D7" s="54"/>
      <c r="E7" s="55"/>
      <c r="F7" s="55"/>
      <c r="G7" s="6"/>
      <c r="H7" s="7"/>
      <c r="I7" s="8" t="str">
        <f t="shared" si="0"/>
        <v/>
      </c>
    </row>
    <row r="8" spans="1:9">
      <c r="A8" s="51"/>
      <c r="B8" s="52"/>
      <c r="C8" s="53"/>
      <c r="D8" s="54"/>
      <c r="E8" s="55"/>
      <c r="F8" s="55"/>
      <c r="G8" s="6"/>
      <c r="H8" s="7"/>
      <c r="I8" s="8" t="str">
        <f t="shared" si="0"/>
        <v/>
      </c>
    </row>
    <row r="9" spans="1:9">
      <c r="A9" s="51"/>
      <c r="B9" s="52"/>
      <c r="C9" s="53"/>
      <c r="D9" s="54"/>
      <c r="E9" s="55"/>
      <c r="F9" s="55"/>
      <c r="G9" s="6"/>
      <c r="H9" s="7"/>
      <c r="I9" s="8" t="str">
        <f t="shared" si="0"/>
        <v/>
      </c>
    </row>
    <row r="10" spans="1:9">
      <c r="A10" s="51"/>
      <c r="B10" s="52"/>
      <c r="C10" s="53"/>
      <c r="D10" s="54"/>
      <c r="E10" s="55"/>
      <c r="F10" s="55"/>
      <c r="G10" s="6"/>
      <c r="H10" s="7"/>
      <c r="I10" s="8" t="str">
        <f t="shared" si="0"/>
        <v/>
      </c>
    </row>
    <row r="11" spans="1:9">
      <c r="A11" s="51"/>
      <c r="B11" s="52"/>
      <c r="C11" s="53"/>
      <c r="D11" s="54"/>
      <c r="E11" s="55"/>
      <c r="F11" s="55"/>
      <c r="G11" s="6"/>
      <c r="H11" s="7"/>
      <c r="I11" s="8" t="str">
        <f t="shared" si="0"/>
        <v/>
      </c>
    </row>
    <row r="12" spans="1:9">
      <c r="A12" s="51"/>
      <c r="B12" s="52"/>
      <c r="C12" s="53"/>
      <c r="D12" s="54"/>
      <c r="E12" s="55"/>
      <c r="F12" s="55"/>
      <c r="G12" s="6"/>
      <c r="H12" s="7"/>
      <c r="I12" s="8" t="str">
        <f t="shared" si="0"/>
        <v/>
      </c>
    </row>
    <row r="13" spans="1:9">
      <c r="A13" s="51"/>
      <c r="B13" s="52"/>
      <c r="C13" s="53"/>
      <c r="D13" s="54"/>
      <c r="E13" s="55"/>
      <c r="F13" s="55"/>
      <c r="G13" s="6"/>
      <c r="H13" s="7"/>
      <c r="I13" s="8" t="str">
        <f t="shared" si="0"/>
        <v/>
      </c>
    </row>
    <row r="14" spans="1:9">
      <c r="A14" s="51"/>
      <c r="B14" s="52"/>
      <c r="C14" s="53"/>
      <c r="D14" s="54"/>
      <c r="E14" s="55"/>
      <c r="F14" s="55"/>
      <c r="G14" s="6"/>
      <c r="H14" s="7"/>
      <c r="I14" s="8" t="str">
        <f t="shared" si="0"/>
        <v/>
      </c>
    </row>
    <row r="15" spans="1:9">
      <c r="A15" s="51"/>
      <c r="B15" s="52"/>
      <c r="C15" s="53"/>
      <c r="D15" s="54"/>
      <c r="E15" s="55"/>
      <c r="F15" s="55"/>
      <c r="G15" s="6"/>
      <c r="H15" s="7"/>
      <c r="I15" s="8" t="str">
        <f t="shared" si="0"/>
        <v/>
      </c>
    </row>
    <row r="16" spans="1:9">
      <c r="A16" s="51"/>
      <c r="B16" s="52"/>
      <c r="C16" s="53"/>
      <c r="D16" s="54"/>
      <c r="E16" s="55"/>
      <c r="F16" s="55"/>
      <c r="G16" s="6"/>
      <c r="H16" s="7"/>
      <c r="I16" s="8" t="str">
        <f t="shared" si="0"/>
        <v/>
      </c>
    </row>
    <row r="17" spans="1:11">
      <c r="A17" s="51"/>
      <c r="B17" s="52"/>
      <c r="C17" s="53"/>
      <c r="D17" s="54"/>
      <c r="E17" s="55"/>
      <c r="F17" s="55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9</v>
      </c>
      <c r="B19" s="5" t="s">
        <v>10</v>
      </c>
      <c r="C19" s="4" t="s">
        <v>11</v>
      </c>
      <c r="D19" s="16" t="s">
        <v>12</v>
      </c>
      <c r="E19" s="17" t="s">
        <v>13</v>
      </c>
      <c r="F19" s="16" t="s">
        <v>14</v>
      </c>
      <c r="G19" s="48" t="s">
        <v>15</v>
      </c>
      <c r="H19" s="48"/>
      <c r="I19" s="18"/>
    </row>
    <row r="20" spans="1:11">
      <c r="A20" s="19">
        <f>IF(B20&lt;2,"N/A",(STDEV(H3:H17)))</f>
        <v>220.56763890773564</v>
      </c>
      <c r="B20" s="19">
        <f>COUNT(H3:H17)</f>
        <v>3</v>
      </c>
      <c r="C20" s="20">
        <f>IF(B20&lt;2,"N/A",(A20/D20))</f>
        <v>0.25069347363437894</v>
      </c>
      <c r="D20" s="21">
        <f>ROUND(AVERAGE(H3:H17),2)</f>
        <v>879.83</v>
      </c>
      <c r="E20" s="22">
        <f>IFERROR(ROUND(IF(B20&lt;2,"N/A",(IF(C20&lt;=25%,"N/A",AVERAGE(I3:I17)))),2),"N/A")</f>
        <v>757.25</v>
      </c>
      <c r="F20" s="22">
        <f>ROUND(MEDIAN(H3:H17),2)</f>
        <v>817</v>
      </c>
      <c r="G20" s="23" t="str">
        <f>INDEX(G3:G17,MATCH(H20,H3:H17,0))</f>
        <v>NÃO ALTERE AS FÓRMULAS LTDA</v>
      </c>
      <c r="H20" s="24">
        <f>MIN(H3:H17)</f>
        <v>697.5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49"/>
      <c r="E22" s="49"/>
      <c r="F22" s="30"/>
      <c r="G22" s="31" t="s">
        <v>16</v>
      </c>
      <c r="H22" s="32">
        <f>IF(C20&lt;=25%,D20,MIN(E20:F20))</f>
        <v>757.25</v>
      </c>
    </row>
    <row r="23" spans="1:11">
      <c r="B23" s="25"/>
      <c r="C23" s="25"/>
      <c r="D23" s="49"/>
      <c r="E23" s="49"/>
      <c r="F23" s="33"/>
      <c r="G23" s="4" t="s">
        <v>17</v>
      </c>
      <c r="H23" s="24">
        <f>ROUND(H22,2)*D3</f>
        <v>7572.5</v>
      </c>
    </row>
    <row r="24" spans="1:11">
      <c r="B24" s="29"/>
      <c r="C24" s="29"/>
      <c r="D24" s="18"/>
      <c r="E24" s="18"/>
    </row>
    <row r="26" spans="1:11" ht="12.75" customHeight="1">
      <c r="A26" s="46" t="s">
        <v>18</v>
      </c>
      <c r="B26" s="46"/>
      <c r="C26" s="46"/>
      <c r="D26" s="46"/>
      <c r="E26" s="46"/>
      <c r="F26" s="46"/>
      <c r="G26" s="46"/>
      <c r="H26" s="46"/>
      <c r="I26" s="46"/>
    </row>
    <row r="27" spans="1:11" ht="12.75" customHeight="1">
      <c r="A27" s="46" t="s">
        <v>19</v>
      </c>
      <c r="B27" s="46"/>
      <c r="C27" s="46"/>
      <c r="D27" s="46"/>
      <c r="E27" s="46"/>
      <c r="F27" s="46"/>
      <c r="G27" s="46"/>
      <c r="H27" s="46"/>
      <c r="I27" s="46"/>
    </row>
    <row r="28" spans="1:11" ht="12.75" customHeight="1">
      <c r="A28" s="46" t="s">
        <v>20</v>
      </c>
      <c r="B28" s="46"/>
      <c r="C28" s="46"/>
      <c r="D28" s="46"/>
      <c r="E28" s="46"/>
      <c r="F28" s="46"/>
      <c r="G28" s="46"/>
      <c r="H28" s="46"/>
      <c r="I28" s="46"/>
    </row>
    <row r="29" spans="1:11" ht="12.75" customHeight="1">
      <c r="A29" s="46" t="s">
        <v>21</v>
      </c>
      <c r="B29" s="46"/>
      <c r="C29" s="46"/>
      <c r="D29" s="46"/>
      <c r="E29" s="46"/>
      <c r="F29" s="46"/>
      <c r="G29" s="46"/>
      <c r="H29" s="46"/>
      <c r="I29" s="46"/>
    </row>
    <row r="30" spans="1:11" ht="12.75" customHeight="1">
      <c r="A30" s="46" t="s">
        <v>22</v>
      </c>
      <c r="B30" s="46"/>
      <c r="C30" s="46"/>
      <c r="D30" s="46"/>
      <c r="E30" s="46"/>
      <c r="F30" s="46"/>
      <c r="G30" s="46"/>
      <c r="H30" s="46"/>
      <c r="I30" s="46"/>
    </row>
    <row r="31" spans="1:11" ht="12.75" customHeight="1">
      <c r="A31" s="46" t="s">
        <v>23</v>
      </c>
      <c r="B31" s="46"/>
      <c r="C31" s="46"/>
      <c r="D31" s="46"/>
      <c r="E31" s="46"/>
      <c r="F31" s="46"/>
      <c r="G31" s="46"/>
      <c r="H31" s="46"/>
      <c r="I31" s="46"/>
    </row>
    <row r="32" spans="1:11" ht="24.75" customHeight="1">
      <c r="A32" s="47" t="s">
        <v>24</v>
      </c>
      <c r="B32" s="47"/>
      <c r="C32" s="47"/>
      <c r="D32" s="47"/>
      <c r="E32" s="47"/>
      <c r="F32" s="47"/>
      <c r="G32" s="47"/>
      <c r="H32" s="47"/>
      <c r="I32" s="47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K30"/>
  <sheetViews>
    <sheetView tabSelected="1" view="pageBreakPreview" zoomScaleNormal="100" workbookViewId="0">
      <selection activeCell="L30" sqref="L30"/>
    </sheetView>
  </sheetViews>
  <sheetFormatPr defaultColWidth="9.140625" defaultRowHeight="12.75"/>
  <cols>
    <col min="1" max="1" width="9.140625" style="34"/>
    <col min="2" max="2" width="28.28515625" style="34" customWidth="1"/>
    <col min="3" max="6" width="13.28515625" style="34" customWidth="1"/>
    <col min="7" max="7" width="15.5703125" style="34" customWidth="1"/>
    <col min="8" max="15" width="9.140625" style="35"/>
    <col min="16" max="1025" width="9.140625" style="34"/>
  </cols>
  <sheetData>
    <row r="1" spans="1:8" ht="12.75" customHeight="1">
      <c r="A1" s="36"/>
      <c r="B1" s="36"/>
      <c r="C1" s="36"/>
      <c r="D1" s="36"/>
      <c r="E1" s="36"/>
      <c r="F1" s="36"/>
      <c r="G1" s="36"/>
    </row>
    <row r="2" spans="1:8" ht="12.75" customHeight="1">
      <c r="A2" s="36"/>
      <c r="B2" s="36"/>
      <c r="C2" s="36"/>
      <c r="D2" s="36"/>
      <c r="E2" s="36"/>
      <c r="F2" s="36"/>
      <c r="G2" s="36"/>
    </row>
    <row r="3" spans="1:8" ht="12.75" customHeight="1">
      <c r="A3" s="36"/>
      <c r="B3" s="36"/>
      <c r="C3" s="36"/>
      <c r="D3" s="36"/>
      <c r="E3" s="36"/>
      <c r="F3" s="36"/>
      <c r="G3" s="36"/>
    </row>
    <row r="4" spans="1:8" ht="12.75" customHeight="1">
      <c r="A4" s="36"/>
      <c r="B4" s="36"/>
      <c r="C4" s="36"/>
      <c r="D4" s="36"/>
      <c r="E4" s="36"/>
      <c r="F4" s="36"/>
      <c r="G4" s="36"/>
    </row>
    <row r="5" spans="1:8" ht="12.75" customHeight="1">
      <c r="A5" s="45"/>
      <c r="B5" s="45"/>
      <c r="C5" s="45"/>
      <c r="D5" s="45"/>
      <c r="E5" s="45"/>
      <c r="F5" s="45"/>
      <c r="G5" s="45"/>
    </row>
    <row r="6" spans="1:8" ht="12.75" customHeight="1">
      <c r="A6" s="45"/>
      <c r="B6" s="45"/>
      <c r="C6" s="45"/>
      <c r="D6" s="45"/>
      <c r="E6" s="45"/>
      <c r="F6" s="45"/>
      <c r="G6" s="45"/>
    </row>
    <row r="7" spans="1:8" ht="12.75" customHeight="1">
      <c r="A7" s="37"/>
      <c r="B7" s="37"/>
      <c r="C7" s="37"/>
      <c r="D7" s="37"/>
      <c r="E7" s="37"/>
      <c r="F7" s="37"/>
      <c r="G7" s="37"/>
    </row>
    <row r="8" spans="1:8" ht="15.75" customHeight="1">
      <c r="A8" s="56" t="s">
        <v>54</v>
      </c>
      <c r="B8" s="56"/>
      <c r="C8" s="56"/>
      <c r="D8" s="56"/>
      <c r="E8" s="56"/>
      <c r="F8" s="56"/>
      <c r="G8" s="56"/>
    </row>
    <row r="9" spans="1:8" ht="25.5">
      <c r="A9" s="38" t="s">
        <v>73</v>
      </c>
      <c r="B9" s="38" t="s">
        <v>55</v>
      </c>
      <c r="C9" s="38" t="s">
        <v>56</v>
      </c>
      <c r="D9" s="38" t="s">
        <v>57</v>
      </c>
      <c r="E9" s="38" t="s">
        <v>58</v>
      </c>
      <c r="F9" s="38" t="s">
        <v>76</v>
      </c>
      <c r="G9" s="38" t="s">
        <v>77</v>
      </c>
    </row>
    <row r="10" spans="1:8">
      <c r="A10" s="57" t="s">
        <v>74</v>
      </c>
      <c r="B10" s="40" t="str">
        <f>Item1!B3</f>
        <v>Faixa Etária 0 a 18</v>
      </c>
      <c r="C10" s="39" t="str">
        <f>Item1!C3</f>
        <v>beneficiários</v>
      </c>
      <c r="D10" s="39">
        <f>Item1!D3</f>
        <v>78</v>
      </c>
      <c r="E10" s="41">
        <f>Item1!E3</f>
        <v>131.83000000000001</v>
      </c>
      <c r="F10" s="41">
        <f>(ROUND(E10,2)*D10)</f>
        <v>10282.740000000002</v>
      </c>
      <c r="G10" s="41">
        <f>F10*30</f>
        <v>308482.20000000007</v>
      </c>
      <c r="H10" s="42"/>
    </row>
    <row r="11" spans="1:8">
      <c r="A11" s="58"/>
      <c r="B11" s="40" t="str">
        <f>Item2!B3</f>
        <v>Faixa Etária 19 a 23</v>
      </c>
      <c r="C11" s="39" t="str">
        <f>Item2!C3</f>
        <v>beneficiários</v>
      </c>
      <c r="D11" s="39">
        <f>Item2!D3</f>
        <v>7</v>
      </c>
      <c r="E11" s="41">
        <f>Item2!E3</f>
        <v>166.92</v>
      </c>
      <c r="F11" s="41">
        <f t="shared" ref="F11:F29" si="0">(ROUND(E11,2)*D11)</f>
        <v>1168.4399999999998</v>
      </c>
      <c r="G11" s="41">
        <f t="shared" ref="G11:G29" si="1">F11*30</f>
        <v>35053.199999999997</v>
      </c>
    </row>
    <row r="12" spans="1:8">
      <c r="A12" s="58"/>
      <c r="B12" s="40" t="str">
        <f>Item3!B3</f>
        <v>Faixa Etária 24 a 28</v>
      </c>
      <c r="C12" s="39" t="str">
        <f>Item3!C3</f>
        <v>beneficiários</v>
      </c>
      <c r="D12" s="39">
        <f>Item3!D3</f>
        <v>12</v>
      </c>
      <c r="E12" s="41">
        <f>Item3!E3</f>
        <v>207.87</v>
      </c>
      <c r="F12" s="41">
        <f t="shared" si="0"/>
        <v>2494.44</v>
      </c>
      <c r="G12" s="41">
        <f t="shared" si="1"/>
        <v>74833.2</v>
      </c>
    </row>
    <row r="13" spans="1:8">
      <c r="A13" s="58"/>
      <c r="B13" s="40" t="str">
        <f>Item4!B3</f>
        <v>Faixa Etária 29 a 33</v>
      </c>
      <c r="C13" s="39" t="str">
        <f>Item4!C3</f>
        <v>beneficiários</v>
      </c>
      <c r="D13" s="39">
        <f>Item4!D3</f>
        <v>32</v>
      </c>
      <c r="E13" s="41">
        <f>Item4!E3</f>
        <v>243.36</v>
      </c>
      <c r="F13" s="41">
        <f t="shared" si="0"/>
        <v>7787.52</v>
      </c>
      <c r="G13" s="41">
        <f t="shared" si="1"/>
        <v>233625.60000000001</v>
      </c>
    </row>
    <row r="14" spans="1:8">
      <c r="A14" s="58"/>
      <c r="B14" s="40" t="str">
        <f>Item5!B3</f>
        <v>Faixa Etária 34 a 38</v>
      </c>
      <c r="C14" s="39" t="str">
        <f>Item5!C3</f>
        <v>beneficiários</v>
      </c>
      <c r="D14" s="39">
        <f>Item5!D3</f>
        <v>38</v>
      </c>
      <c r="E14" s="41">
        <f>Item5!E3</f>
        <v>278.91000000000003</v>
      </c>
      <c r="F14" s="41">
        <f t="shared" si="0"/>
        <v>10598.580000000002</v>
      </c>
      <c r="G14" s="41">
        <f t="shared" si="1"/>
        <v>317957.40000000002</v>
      </c>
    </row>
    <row r="15" spans="1:8">
      <c r="A15" s="58"/>
      <c r="B15" s="40" t="str">
        <f>Item6!B3</f>
        <v>Faixa Etária 39 a 43</v>
      </c>
      <c r="C15" s="39" t="str">
        <f>Item6!C3</f>
        <v>beneficiários</v>
      </c>
      <c r="D15" s="39">
        <f>Item6!D3</f>
        <v>55</v>
      </c>
      <c r="E15" s="41">
        <f>Item6!E3</f>
        <v>307.02999999999997</v>
      </c>
      <c r="F15" s="41">
        <f t="shared" si="0"/>
        <v>16886.649999999998</v>
      </c>
      <c r="G15" s="41">
        <f t="shared" si="1"/>
        <v>506599.49999999994</v>
      </c>
    </row>
    <row r="16" spans="1:8">
      <c r="A16" s="58"/>
      <c r="B16" s="40" t="str">
        <f>Item7!B3</f>
        <v>Faixa Etária 44 a 48</v>
      </c>
      <c r="C16" s="39" t="str">
        <f>Item7!C3</f>
        <v>beneficiários</v>
      </c>
      <c r="D16" s="39">
        <f>Item7!D3</f>
        <v>97</v>
      </c>
      <c r="E16" s="41">
        <f>Item7!E3</f>
        <v>345.68</v>
      </c>
      <c r="F16" s="41">
        <f t="shared" si="0"/>
        <v>33530.959999999999</v>
      </c>
      <c r="G16" s="41">
        <f t="shared" si="1"/>
        <v>1005928.7999999999</v>
      </c>
    </row>
    <row r="17" spans="1:7">
      <c r="A17" s="58"/>
      <c r="B17" s="40" t="str">
        <f>Item8!B3</f>
        <v>Faixa Etária 49 a 53</v>
      </c>
      <c r="C17" s="39" t="str">
        <f>Item8!C3</f>
        <v>beneficiários</v>
      </c>
      <c r="D17" s="39">
        <f>Item8!D3</f>
        <v>110</v>
      </c>
      <c r="E17" s="41">
        <f>Item8!E3</f>
        <v>412.71</v>
      </c>
      <c r="F17" s="41">
        <f t="shared" si="0"/>
        <v>45398.1</v>
      </c>
      <c r="G17" s="41">
        <f t="shared" si="1"/>
        <v>1361943</v>
      </c>
    </row>
    <row r="18" spans="1:7">
      <c r="A18" s="58"/>
      <c r="B18" s="40" t="str">
        <f>Item9!B3</f>
        <v>Faixa Etária 54 a 58</v>
      </c>
      <c r="C18" s="39" t="str">
        <f>Item9!C3</f>
        <v>beneficiários</v>
      </c>
      <c r="D18" s="39">
        <f>Item9!D3</f>
        <v>73</v>
      </c>
      <c r="E18" s="41">
        <f>Item9!E3</f>
        <v>542.88</v>
      </c>
      <c r="F18" s="41">
        <f t="shared" si="0"/>
        <v>39630.239999999998</v>
      </c>
      <c r="G18" s="41">
        <f t="shared" si="1"/>
        <v>1188907.2</v>
      </c>
    </row>
    <row r="19" spans="1:7">
      <c r="A19" s="59"/>
      <c r="B19" s="40" t="str">
        <f>Item10!B3</f>
        <v>Faixa Etária acima de 58</v>
      </c>
      <c r="C19" s="39" t="str">
        <f>Item10!C3</f>
        <v>beneficiários</v>
      </c>
      <c r="D19" s="39">
        <f>Item10!D3</f>
        <v>41</v>
      </c>
      <c r="E19" s="41">
        <f>Item10!E3</f>
        <v>709.46</v>
      </c>
      <c r="F19" s="41">
        <f t="shared" si="0"/>
        <v>29087.86</v>
      </c>
      <c r="G19" s="41">
        <f t="shared" si="1"/>
        <v>872635.8</v>
      </c>
    </row>
    <row r="20" spans="1:7">
      <c r="A20" s="57" t="s">
        <v>75</v>
      </c>
      <c r="B20" s="40" t="str">
        <f>Item11!B3</f>
        <v>Faixa Etária 0 a 18</v>
      </c>
      <c r="C20" s="39" t="str">
        <f>Item11!C3</f>
        <v>beneficiários</v>
      </c>
      <c r="D20" s="39">
        <f>Item11!D3</f>
        <v>141</v>
      </c>
      <c r="E20" s="41">
        <f>Item11!E3</f>
        <v>179.72</v>
      </c>
      <c r="F20" s="41">
        <f t="shared" si="0"/>
        <v>25340.52</v>
      </c>
      <c r="G20" s="41">
        <f t="shared" si="1"/>
        <v>760215.6</v>
      </c>
    </row>
    <row r="21" spans="1:7">
      <c r="A21" s="58"/>
      <c r="B21" s="40" t="str">
        <f>Item12!B3</f>
        <v>Faixa Etária 19 a 23</v>
      </c>
      <c r="C21" s="39" t="str">
        <f>Item12!C3</f>
        <v>beneficiários</v>
      </c>
      <c r="D21" s="39">
        <f>Item12!D3</f>
        <v>33</v>
      </c>
      <c r="E21" s="41">
        <f>Item12!E3</f>
        <v>227.54</v>
      </c>
      <c r="F21" s="41">
        <f t="shared" si="0"/>
        <v>7508.82</v>
      </c>
      <c r="G21" s="41">
        <f t="shared" si="1"/>
        <v>225264.59999999998</v>
      </c>
    </row>
    <row r="22" spans="1:7">
      <c r="A22" s="58"/>
      <c r="B22" s="40" t="str">
        <f>Item13!B3</f>
        <v>Faixa Etária 24 a 28</v>
      </c>
      <c r="C22" s="39" t="str">
        <f>Item13!C3</f>
        <v>beneficiários</v>
      </c>
      <c r="D22" s="39">
        <f>Item13!D3</f>
        <v>18</v>
      </c>
      <c r="E22" s="41">
        <f>Item13!E3</f>
        <v>283.41000000000003</v>
      </c>
      <c r="F22" s="41">
        <f t="shared" si="0"/>
        <v>5101.38</v>
      </c>
      <c r="G22" s="41">
        <f t="shared" si="1"/>
        <v>153041.4</v>
      </c>
    </row>
    <row r="23" spans="1:7">
      <c r="A23" s="58"/>
      <c r="B23" s="40" t="str">
        <f>Item14!B3</f>
        <v>Faixa Etária 29 a 33</v>
      </c>
      <c r="C23" s="39" t="str">
        <f>Item14!C3</f>
        <v>beneficiários</v>
      </c>
      <c r="D23" s="39">
        <f>Item14!D3</f>
        <v>25</v>
      </c>
      <c r="E23" s="41">
        <f>Item14!E3</f>
        <v>331.83</v>
      </c>
      <c r="F23" s="41">
        <f t="shared" si="0"/>
        <v>8295.75</v>
      </c>
      <c r="G23" s="41">
        <f t="shared" si="1"/>
        <v>248872.5</v>
      </c>
    </row>
    <row r="24" spans="1:7">
      <c r="A24" s="58"/>
      <c r="B24" s="40" t="str">
        <f>Item15!B3</f>
        <v>Faixa Etária 34 a 38</v>
      </c>
      <c r="C24" s="39" t="str">
        <f>Item15!C3</f>
        <v>beneficiários</v>
      </c>
      <c r="D24" s="39">
        <f>Item15!D3</f>
        <v>33</v>
      </c>
      <c r="E24" s="41">
        <f>Item15!E3</f>
        <v>380.42</v>
      </c>
      <c r="F24" s="41">
        <f t="shared" si="0"/>
        <v>12553.86</v>
      </c>
      <c r="G24" s="41">
        <f t="shared" si="1"/>
        <v>376615.80000000005</v>
      </c>
    </row>
    <row r="25" spans="1:7">
      <c r="A25" s="58"/>
      <c r="B25" s="40" t="str">
        <f>Item16!B3</f>
        <v>Faixa Etária 39 a 43</v>
      </c>
      <c r="C25" s="39" t="str">
        <f>Item16!C3</f>
        <v>beneficiários</v>
      </c>
      <c r="D25" s="39">
        <f>Item16!D3</f>
        <v>75</v>
      </c>
      <c r="E25" s="41">
        <f>Item16!E3</f>
        <v>418.9</v>
      </c>
      <c r="F25" s="41">
        <f t="shared" si="0"/>
        <v>31417.5</v>
      </c>
      <c r="G25" s="41">
        <f t="shared" si="1"/>
        <v>942525</v>
      </c>
    </row>
    <row r="26" spans="1:7">
      <c r="A26" s="58"/>
      <c r="B26" s="40" t="str">
        <f>Item17!B3</f>
        <v>Faixa Etária 44 a 48</v>
      </c>
      <c r="C26" s="39" t="str">
        <f>Item17!C3</f>
        <v>beneficiários</v>
      </c>
      <c r="D26" s="39">
        <f>Item17!D3</f>
        <v>33</v>
      </c>
      <c r="E26" s="41">
        <f>Item17!E3</f>
        <v>471.67</v>
      </c>
      <c r="F26" s="41">
        <f t="shared" si="0"/>
        <v>15565.11</v>
      </c>
      <c r="G26" s="41">
        <f t="shared" si="1"/>
        <v>466953.30000000005</v>
      </c>
    </row>
    <row r="27" spans="1:7">
      <c r="A27" s="58"/>
      <c r="B27" s="40" t="str">
        <f>Item18!B3</f>
        <v>Faixa Etária 49 a 53</v>
      </c>
      <c r="C27" s="39" t="str">
        <f>Item18!C3</f>
        <v>beneficiários</v>
      </c>
      <c r="D27" s="39">
        <f>Item18!D3</f>
        <v>16</v>
      </c>
      <c r="E27" s="41">
        <f>Item18!E3</f>
        <v>562.80999999999995</v>
      </c>
      <c r="F27" s="41">
        <f t="shared" si="0"/>
        <v>9004.9599999999991</v>
      </c>
      <c r="G27" s="41">
        <f t="shared" si="1"/>
        <v>270148.8</v>
      </c>
    </row>
    <row r="28" spans="1:7">
      <c r="A28" s="58"/>
      <c r="B28" s="40" t="str">
        <f>Item19!B3</f>
        <v>Faixa Etária 54 a 58</v>
      </c>
      <c r="C28" s="39" t="str">
        <f>Item19!C3</f>
        <v>beneficiários</v>
      </c>
      <c r="D28" s="39">
        <f>Item19!D3</f>
        <v>21</v>
      </c>
      <c r="E28" s="41">
        <f>Item19!E3</f>
        <v>740.09</v>
      </c>
      <c r="F28" s="41">
        <f t="shared" si="0"/>
        <v>15541.890000000001</v>
      </c>
      <c r="G28" s="41">
        <f t="shared" si="1"/>
        <v>466256.7</v>
      </c>
    </row>
    <row r="29" spans="1:7">
      <c r="A29" s="59"/>
      <c r="B29" s="40" t="str">
        <f>Item20!B3</f>
        <v>Faixa Etária acima de 58</v>
      </c>
      <c r="C29" s="39" t="str">
        <f>Item20!C3</f>
        <v>beneficiários</v>
      </c>
      <c r="D29" s="39">
        <f>Item20!D3</f>
        <v>54</v>
      </c>
      <c r="E29" s="41">
        <f>Item20!E3</f>
        <v>968.11</v>
      </c>
      <c r="F29" s="41">
        <f t="shared" si="0"/>
        <v>52277.94</v>
      </c>
      <c r="G29" s="41">
        <f t="shared" si="1"/>
        <v>1568338.2000000002</v>
      </c>
    </row>
    <row r="30" spans="1:7" ht="15.75" customHeight="1">
      <c r="A30" s="43"/>
      <c r="B30" s="43"/>
      <c r="C30" s="56" t="s">
        <v>59</v>
      </c>
      <c r="D30" s="56"/>
      <c r="E30" s="56"/>
      <c r="F30" s="44">
        <f>SUM(F10:F29)</f>
        <v>379473.26</v>
      </c>
      <c r="G30" s="44">
        <f>SUM(G10:G29)</f>
        <v>11384197.800000001</v>
      </c>
    </row>
  </sheetData>
  <mergeCells count="4">
    <mergeCell ref="A8:G8"/>
    <mergeCell ref="C30:E30"/>
    <mergeCell ref="A10:A19"/>
    <mergeCell ref="A20:A29"/>
  </mergeCells>
  <printOptions horizontalCentered="1"/>
  <pageMargins left="0.51181102362204722" right="0.51181102362204722" top="0.78740157480314965" bottom="0.94488188976377963" header="0.51181102362204722" footer="0.78740157480314965"/>
  <pageSetup paperSize="9" firstPageNumber="0" fitToHeight="0" orientation="landscape" horizontalDpi="300" verticalDpi="300" r:id="rId1"/>
  <headerFooter>
    <oddFooter>&amp;L&amp;"Calibri,Regular"&amp;12Estimativa em &amp;D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zoomScaleNormal="100" workbookViewId="0">
      <selection activeCell="H6" sqref="H6"/>
    </sheetView>
  </sheetViews>
  <sheetFormatPr defaultColWidth="9.140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1024" width="9.140625" style="1"/>
  </cols>
  <sheetData>
    <row r="1" spans="1:9" ht="15.75">
      <c r="A1" s="50" t="s">
        <v>0</v>
      </c>
      <c r="B1" s="50"/>
      <c r="C1" s="50"/>
      <c r="D1" s="50"/>
      <c r="E1" s="50"/>
      <c r="F1" s="50"/>
      <c r="G1" s="50"/>
      <c r="H1" s="50"/>
      <c r="I1" s="50"/>
    </row>
    <row r="2" spans="1:9" ht="25.5">
      <c r="A2" s="51" t="s">
        <v>72</v>
      </c>
      <c r="B2" s="2" t="s">
        <v>1</v>
      </c>
      <c r="C2" s="2" t="s">
        <v>2</v>
      </c>
      <c r="D2" s="2" t="s">
        <v>3</v>
      </c>
      <c r="E2" s="3" t="s">
        <v>4</v>
      </c>
      <c r="F2" s="3" t="s">
        <v>5</v>
      </c>
      <c r="G2" s="2" t="s">
        <v>6</v>
      </c>
      <c r="H2" s="4" t="s">
        <v>7</v>
      </c>
      <c r="I2" s="5" t="s">
        <v>8</v>
      </c>
    </row>
    <row r="3" spans="1:9" ht="12.75" customHeight="1">
      <c r="A3" s="51"/>
      <c r="B3" s="52" t="s">
        <v>66</v>
      </c>
      <c r="C3" s="53" t="s">
        <v>60</v>
      </c>
      <c r="D3" s="54">
        <v>38</v>
      </c>
      <c r="E3" s="55">
        <f>IF(C20&lt;=25%,D20,MIN(E20:F20))</f>
        <v>278.91000000000003</v>
      </c>
      <c r="F3" s="55">
        <f>MIN(H3:H17)</f>
        <v>264.27</v>
      </c>
      <c r="G3" s="6" t="s">
        <v>78</v>
      </c>
      <c r="H3" s="7">
        <v>732.15</v>
      </c>
      <c r="I3" s="8" t="str">
        <f t="shared" ref="I3:I17" si="0">IF(H3="","",(IF($C$20&lt;25%,"N/A",IF(H3&lt;=($D$20+$A$20),H3,"Descartado"))))</f>
        <v>Descartado</v>
      </c>
    </row>
    <row r="4" spans="1:9">
      <c r="A4" s="51"/>
      <c r="B4" s="52"/>
      <c r="C4" s="53"/>
      <c r="D4" s="54"/>
      <c r="E4" s="55"/>
      <c r="F4" s="55"/>
      <c r="G4" s="6" t="s">
        <v>79</v>
      </c>
      <c r="H4" s="7">
        <f>271.46*1.0814</f>
        <v>293.55684399999996</v>
      </c>
      <c r="I4" s="8">
        <f t="shared" si="0"/>
        <v>293.55684399999996</v>
      </c>
    </row>
    <row r="5" spans="1:9">
      <c r="A5" s="51"/>
      <c r="B5" s="52"/>
      <c r="C5" s="53"/>
      <c r="D5" s="54"/>
      <c r="E5" s="55"/>
      <c r="F5" s="55"/>
      <c r="G5" s="6" t="s">
        <v>81</v>
      </c>
      <c r="H5" s="7">
        <v>264.27</v>
      </c>
      <c r="I5" s="8">
        <f t="shared" si="0"/>
        <v>264.27</v>
      </c>
    </row>
    <row r="6" spans="1:9">
      <c r="A6" s="51"/>
      <c r="B6" s="52"/>
      <c r="C6" s="53"/>
      <c r="D6" s="54"/>
      <c r="E6" s="55"/>
      <c r="F6" s="55"/>
      <c r="G6" s="6"/>
      <c r="H6" s="7"/>
      <c r="I6" s="8" t="str">
        <f t="shared" si="0"/>
        <v/>
      </c>
    </row>
    <row r="7" spans="1:9">
      <c r="A7" s="51"/>
      <c r="B7" s="52"/>
      <c r="C7" s="53"/>
      <c r="D7" s="54"/>
      <c r="E7" s="55"/>
      <c r="F7" s="55"/>
      <c r="G7" s="6"/>
      <c r="H7" s="7"/>
      <c r="I7" s="8" t="str">
        <f t="shared" si="0"/>
        <v/>
      </c>
    </row>
    <row r="8" spans="1:9">
      <c r="A8" s="51"/>
      <c r="B8" s="52"/>
      <c r="C8" s="53"/>
      <c r="D8" s="54"/>
      <c r="E8" s="55"/>
      <c r="F8" s="55"/>
      <c r="G8" s="6"/>
      <c r="H8" s="7"/>
      <c r="I8" s="8" t="str">
        <f t="shared" si="0"/>
        <v/>
      </c>
    </row>
    <row r="9" spans="1:9">
      <c r="A9" s="51"/>
      <c r="B9" s="52"/>
      <c r="C9" s="53"/>
      <c r="D9" s="54"/>
      <c r="E9" s="55"/>
      <c r="F9" s="55"/>
      <c r="G9" s="6"/>
      <c r="H9" s="7"/>
      <c r="I9" s="8" t="str">
        <f t="shared" si="0"/>
        <v/>
      </c>
    </row>
    <row r="10" spans="1:9">
      <c r="A10" s="51"/>
      <c r="B10" s="52"/>
      <c r="C10" s="53"/>
      <c r="D10" s="54"/>
      <c r="E10" s="55"/>
      <c r="F10" s="55"/>
      <c r="G10" s="6"/>
      <c r="H10" s="7"/>
      <c r="I10" s="8" t="str">
        <f t="shared" si="0"/>
        <v/>
      </c>
    </row>
    <row r="11" spans="1:9">
      <c r="A11" s="51"/>
      <c r="B11" s="52"/>
      <c r="C11" s="53"/>
      <c r="D11" s="54"/>
      <c r="E11" s="55"/>
      <c r="F11" s="55"/>
      <c r="G11" s="6"/>
      <c r="H11" s="7"/>
      <c r="I11" s="8" t="str">
        <f t="shared" si="0"/>
        <v/>
      </c>
    </row>
    <row r="12" spans="1:9">
      <c r="A12" s="51"/>
      <c r="B12" s="52"/>
      <c r="C12" s="53"/>
      <c r="D12" s="54"/>
      <c r="E12" s="55"/>
      <c r="F12" s="55"/>
      <c r="G12" s="6"/>
      <c r="H12" s="7"/>
      <c r="I12" s="8" t="str">
        <f t="shared" si="0"/>
        <v/>
      </c>
    </row>
    <row r="13" spans="1:9">
      <c r="A13" s="51"/>
      <c r="B13" s="52"/>
      <c r="C13" s="53"/>
      <c r="D13" s="54"/>
      <c r="E13" s="55"/>
      <c r="F13" s="55"/>
      <c r="G13" s="6"/>
      <c r="H13" s="7"/>
      <c r="I13" s="8" t="str">
        <f t="shared" si="0"/>
        <v/>
      </c>
    </row>
    <row r="14" spans="1:9">
      <c r="A14" s="51"/>
      <c r="B14" s="52"/>
      <c r="C14" s="53"/>
      <c r="D14" s="54"/>
      <c r="E14" s="55"/>
      <c r="F14" s="55"/>
      <c r="G14" s="6"/>
      <c r="H14" s="7"/>
      <c r="I14" s="8" t="str">
        <f t="shared" si="0"/>
        <v/>
      </c>
    </row>
    <row r="15" spans="1:9">
      <c r="A15" s="51"/>
      <c r="B15" s="52"/>
      <c r="C15" s="53"/>
      <c r="D15" s="54"/>
      <c r="E15" s="55"/>
      <c r="F15" s="55"/>
      <c r="G15" s="6"/>
      <c r="H15" s="7"/>
      <c r="I15" s="8" t="str">
        <f t="shared" si="0"/>
        <v/>
      </c>
    </row>
    <row r="16" spans="1:9">
      <c r="A16" s="51"/>
      <c r="B16" s="52"/>
      <c r="C16" s="53"/>
      <c r="D16" s="54"/>
      <c r="E16" s="55"/>
      <c r="F16" s="55"/>
      <c r="G16" s="6"/>
      <c r="H16" s="7"/>
      <c r="I16" s="8" t="str">
        <f t="shared" si="0"/>
        <v/>
      </c>
    </row>
    <row r="17" spans="1:11">
      <c r="A17" s="51"/>
      <c r="B17" s="52"/>
      <c r="C17" s="53"/>
      <c r="D17" s="54"/>
      <c r="E17" s="55"/>
      <c r="F17" s="55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9</v>
      </c>
      <c r="B19" s="5" t="s">
        <v>10</v>
      </c>
      <c r="C19" s="4" t="s">
        <v>11</v>
      </c>
      <c r="D19" s="16" t="s">
        <v>12</v>
      </c>
      <c r="E19" s="17" t="s">
        <v>13</v>
      </c>
      <c r="F19" s="16" t="s">
        <v>14</v>
      </c>
      <c r="G19" s="48" t="s">
        <v>15</v>
      </c>
      <c r="H19" s="48"/>
      <c r="I19" s="18"/>
    </row>
    <row r="20" spans="1:11">
      <c r="A20" s="19">
        <f>IF(B20&lt;2,"N/A",(STDEV(H3:H17)))</f>
        <v>262.08566351529691</v>
      </c>
      <c r="B20" s="19">
        <f>COUNT(H3:H17)</f>
        <v>3</v>
      </c>
      <c r="C20" s="20">
        <f>IF(B20&lt;2,"N/A",(A20/D20))</f>
        <v>0.60951571784296588</v>
      </c>
      <c r="D20" s="21">
        <f>ROUND(AVERAGE(H3:H17),2)</f>
        <v>429.99</v>
      </c>
      <c r="E20" s="22">
        <f>IFERROR(ROUND(IF(B20&lt;2,"N/A",(IF(C20&lt;=25%,"N/A",AVERAGE(I3:I17)))),2),"N/A")</f>
        <v>278.91000000000003</v>
      </c>
      <c r="F20" s="22">
        <f>ROUND(MEDIAN(H3:H17),2)</f>
        <v>293.56</v>
      </c>
      <c r="G20" s="23" t="str">
        <f>INDEX(G3:G17,MATCH(H20,H3:H17,0))</f>
        <v>TRE-SC - UNIMED - Contr. 21/18 - Ap. 20/21</v>
      </c>
      <c r="H20" s="24">
        <f>MIN(H3:H17)</f>
        <v>264.27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49"/>
      <c r="E22" s="49"/>
      <c r="F22" s="30"/>
      <c r="G22" s="31" t="s">
        <v>16</v>
      </c>
      <c r="H22" s="32">
        <f>IF(C20&lt;=25%,D20,MIN(E20:F20))</f>
        <v>278.91000000000003</v>
      </c>
    </row>
    <row r="23" spans="1:11">
      <c r="B23" s="25"/>
      <c r="C23" s="25"/>
      <c r="D23" s="49"/>
      <c r="E23" s="49"/>
      <c r="F23" s="33"/>
      <c r="G23" s="4" t="s">
        <v>17</v>
      </c>
      <c r="H23" s="24">
        <f>ROUND(H22,2)*D3</f>
        <v>10598.580000000002</v>
      </c>
    </row>
    <row r="24" spans="1:11">
      <c r="B24" s="29"/>
      <c r="C24" s="29"/>
      <c r="D24" s="18"/>
      <c r="E24" s="18"/>
    </row>
    <row r="26" spans="1:11" ht="12.75" customHeight="1">
      <c r="A26" s="46" t="s">
        <v>18</v>
      </c>
      <c r="B26" s="46"/>
      <c r="C26" s="46"/>
      <c r="D26" s="46"/>
      <c r="E26" s="46"/>
      <c r="F26" s="46"/>
      <c r="G26" s="46"/>
      <c r="H26" s="46"/>
      <c r="I26" s="46"/>
    </row>
    <row r="27" spans="1:11" ht="12.75" customHeight="1">
      <c r="A27" s="46" t="s">
        <v>19</v>
      </c>
      <c r="B27" s="46"/>
      <c r="C27" s="46"/>
      <c r="D27" s="46"/>
      <c r="E27" s="46"/>
      <c r="F27" s="46"/>
      <c r="G27" s="46"/>
      <c r="H27" s="46"/>
      <c r="I27" s="46"/>
    </row>
    <row r="28" spans="1:11" ht="12.75" customHeight="1">
      <c r="A28" s="46" t="s">
        <v>20</v>
      </c>
      <c r="B28" s="46"/>
      <c r="C28" s="46"/>
      <c r="D28" s="46"/>
      <c r="E28" s="46"/>
      <c r="F28" s="46"/>
      <c r="G28" s="46"/>
      <c r="H28" s="46"/>
      <c r="I28" s="46"/>
    </row>
    <row r="29" spans="1:11" ht="12.75" customHeight="1">
      <c r="A29" s="46" t="s">
        <v>21</v>
      </c>
      <c r="B29" s="46"/>
      <c r="C29" s="46"/>
      <c r="D29" s="46"/>
      <c r="E29" s="46"/>
      <c r="F29" s="46"/>
      <c r="G29" s="46"/>
      <c r="H29" s="46"/>
      <c r="I29" s="46"/>
    </row>
    <row r="30" spans="1:11" ht="12.75" customHeight="1">
      <c r="A30" s="46" t="s">
        <v>22</v>
      </c>
      <c r="B30" s="46"/>
      <c r="C30" s="46"/>
      <c r="D30" s="46"/>
      <c r="E30" s="46"/>
      <c r="F30" s="46"/>
      <c r="G30" s="46"/>
      <c r="H30" s="46"/>
      <c r="I30" s="46"/>
    </row>
    <row r="31" spans="1:11" ht="12.75" customHeight="1">
      <c r="A31" s="46" t="s">
        <v>23</v>
      </c>
      <c r="B31" s="46"/>
      <c r="C31" s="46"/>
      <c r="D31" s="46"/>
      <c r="E31" s="46"/>
      <c r="F31" s="46"/>
      <c r="G31" s="46"/>
      <c r="H31" s="46"/>
      <c r="I31" s="46"/>
    </row>
    <row r="32" spans="1:11" ht="24.75" customHeight="1">
      <c r="A32" s="47" t="s">
        <v>24</v>
      </c>
      <c r="B32" s="47"/>
      <c r="C32" s="47"/>
      <c r="D32" s="47"/>
      <c r="E32" s="47"/>
      <c r="F32" s="47"/>
      <c r="G32" s="47"/>
      <c r="H32" s="47"/>
      <c r="I32" s="47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zoomScaleNormal="100" workbookViewId="0">
      <selection activeCell="H6" sqref="H6"/>
    </sheetView>
  </sheetViews>
  <sheetFormatPr defaultColWidth="9.140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1024" width="9.140625" style="1"/>
  </cols>
  <sheetData>
    <row r="1" spans="1:9" ht="15.75">
      <c r="A1" s="50" t="s">
        <v>0</v>
      </c>
      <c r="B1" s="50"/>
      <c r="C1" s="50"/>
      <c r="D1" s="50"/>
      <c r="E1" s="50"/>
      <c r="F1" s="50"/>
      <c r="G1" s="50"/>
      <c r="H1" s="50"/>
      <c r="I1" s="50"/>
    </row>
    <row r="2" spans="1:9" ht="25.5">
      <c r="A2" s="51" t="s">
        <v>72</v>
      </c>
      <c r="B2" s="2" t="s">
        <v>1</v>
      </c>
      <c r="C2" s="2" t="s">
        <v>2</v>
      </c>
      <c r="D2" s="2" t="s">
        <v>3</v>
      </c>
      <c r="E2" s="3" t="s">
        <v>4</v>
      </c>
      <c r="F2" s="3" t="s">
        <v>5</v>
      </c>
      <c r="G2" s="2" t="s">
        <v>6</v>
      </c>
      <c r="H2" s="4" t="s">
        <v>7</v>
      </c>
      <c r="I2" s="5" t="s">
        <v>8</v>
      </c>
    </row>
    <row r="3" spans="1:9" ht="12.75" customHeight="1">
      <c r="A3" s="51"/>
      <c r="B3" s="52" t="s">
        <v>67</v>
      </c>
      <c r="C3" s="53" t="s">
        <v>60</v>
      </c>
      <c r="D3" s="54">
        <v>55</v>
      </c>
      <c r="E3" s="55">
        <f>IF(C20&lt;=25%,D20,MIN(E20:F20))</f>
        <v>307.02999999999997</v>
      </c>
      <c r="F3" s="55">
        <f>MIN(H3:H17)</f>
        <v>299.95</v>
      </c>
      <c r="G3" s="6" t="s">
        <v>78</v>
      </c>
      <c r="H3" s="7">
        <v>818.17</v>
      </c>
      <c r="I3" s="8" t="str">
        <f t="shared" ref="I3:I17" si="0">IF(H3="","",(IF($C$20&lt;25%,"N/A",IF(H3&lt;=($D$20+$A$20),H3,"Descartado"))))</f>
        <v>Descartado</v>
      </c>
    </row>
    <row r="4" spans="1:9">
      <c r="A4" s="51"/>
      <c r="B4" s="52"/>
      <c r="C4" s="53"/>
      <c r="D4" s="54"/>
      <c r="E4" s="55"/>
      <c r="F4" s="55"/>
      <c r="G4" s="6" t="s">
        <v>79</v>
      </c>
      <c r="H4" s="7">
        <f>290.46*1.0814</f>
        <v>314.10344399999997</v>
      </c>
      <c r="I4" s="8">
        <f t="shared" si="0"/>
        <v>314.10344399999997</v>
      </c>
    </row>
    <row r="5" spans="1:9">
      <c r="A5" s="51"/>
      <c r="B5" s="52"/>
      <c r="C5" s="53"/>
      <c r="D5" s="54"/>
      <c r="E5" s="55"/>
      <c r="F5" s="55"/>
      <c r="G5" s="6" t="s">
        <v>81</v>
      </c>
      <c r="H5" s="7">
        <v>299.95</v>
      </c>
      <c r="I5" s="8">
        <f t="shared" si="0"/>
        <v>299.95</v>
      </c>
    </row>
    <row r="6" spans="1:9">
      <c r="A6" s="51"/>
      <c r="B6" s="52"/>
      <c r="C6" s="53"/>
      <c r="D6" s="54"/>
      <c r="E6" s="55"/>
      <c r="F6" s="55"/>
      <c r="G6" s="6"/>
      <c r="H6" s="7"/>
      <c r="I6" s="8" t="str">
        <f t="shared" si="0"/>
        <v/>
      </c>
    </row>
    <row r="7" spans="1:9">
      <c r="A7" s="51"/>
      <c r="B7" s="52"/>
      <c r="C7" s="53"/>
      <c r="D7" s="54"/>
      <c r="E7" s="55"/>
      <c r="F7" s="55"/>
      <c r="G7" s="6"/>
      <c r="H7" s="7"/>
      <c r="I7" s="8" t="str">
        <f t="shared" si="0"/>
        <v/>
      </c>
    </row>
    <row r="8" spans="1:9">
      <c r="A8" s="51"/>
      <c r="B8" s="52"/>
      <c r="C8" s="53"/>
      <c r="D8" s="54"/>
      <c r="E8" s="55"/>
      <c r="F8" s="55"/>
      <c r="G8" s="6"/>
      <c r="H8" s="7"/>
      <c r="I8" s="8" t="str">
        <f t="shared" si="0"/>
        <v/>
      </c>
    </row>
    <row r="9" spans="1:9">
      <c r="A9" s="51"/>
      <c r="B9" s="52"/>
      <c r="C9" s="53"/>
      <c r="D9" s="54"/>
      <c r="E9" s="55"/>
      <c r="F9" s="55"/>
      <c r="G9" s="6"/>
      <c r="H9" s="7"/>
      <c r="I9" s="8" t="str">
        <f t="shared" si="0"/>
        <v/>
      </c>
    </row>
    <row r="10" spans="1:9">
      <c r="A10" s="51"/>
      <c r="B10" s="52"/>
      <c r="C10" s="53"/>
      <c r="D10" s="54"/>
      <c r="E10" s="55"/>
      <c r="F10" s="55"/>
      <c r="G10" s="6"/>
      <c r="H10" s="7"/>
      <c r="I10" s="8" t="str">
        <f t="shared" si="0"/>
        <v/>
      </c>
    </row>
    <row r="11" spans="1:9">
      <c r="A11" s="51"/>
      <c r="B11" s="52"/>
      <c r="C11" s="53"/>
      <c r="D11" s="54"/>
      <c r="E11" s="55"/>
      <c r="F11" s="55"/>
      <c r="G11" s="6"/>
      <c r="H11" s="7"/>
      <c r="I11" s="8" t="str">
        <f t="shared" si="0"/>
        <v/>
      </c>
    </row>
    <row r="12" spans="1:9">
      <c r="A12" s="51"/>
      <c r="B12" s="52"/>
      <c r="C12" s="53"/>
      <c r="D12" s="54"/>
      <c r="E12" s="55"/>
      <c r="F12" s="55"/>
      <c r="G12" s="6"/>
      <c r="H12" s="7"/>
      <c r="I12" s="8" t="str">
        <f t="shared" si="0"/>
        <v/>
      </c>
    </row>
    <row r="13" spans="1:9">
      <c r="A13" s="51"/>
      <c r="B13" s="52"/>
      <c r="C13" s="53"/>
      <c r="D13" s="54"/>
      <c r="E13" s="55"/>
      <c r="F13" s="55"/>
      <c r="G13" s="6"/>
      <c r="H13" s="7"/>
      <c r="I13" s="8" t="str">
        <f t="shared" si="0"/>
        <v/>
      </c>
    </row>
    <row r="14" spans="1:9">
      <c r="A14" s="51"/>
      <c r="B14" s="52"/>
      <c r="C14" s="53"/>
      <c r="D14" s="54"/>
      <c r="E14" s="55"/>
      <c r="F14" s="55"/>
      <c r="G14" s="6"/>
      <c r="H14" s="7"/>
      <c r="I14" s="8" t="str">
        <f t="shared" si="0"/>
        <v/>
      </c>
    </row>
    <row r="15" spans="1:9">
      <c r="A15" s="51"/>
      <c r="B15" s="52"/>
      <c r="C15" s="53"/>
      <c r="D15" s="54"/>
      <c r="E15" s="55"/>
      <c r="F15" s="55"/>
      <c r="G15" s="6"/>
      <c r="H15" s="7"/>
      <c r="I15" s="8" t="str">
        <f t="shared" si="0"/>
        <v/>
      </c>
    </row>
    <row r="16" spans="1:9">
      <c r="A16" s="51"/>
      <c r="B16" s="52"/>
      <c r="C16" s="53"/>
      <c r="D16" s="54"/>
      <c r="E16" s="55"/>
      <c r="F16" s="55"/>
      <c r="G16" s="6"/>
      <c r="H16" s="7"/>
      <c r="I16" s="8" t="str">
        <f t="shared" si="0"/>
        <v/>
      </c>
    </row>
    <row r="17" spans="1:11">
      <c r="A17" s="51"/>
      <c r="B17" s="52"/>
      <c r="C17" s="53"/>
      <c r="D17" s="54"/>
      <c r="E17" s="55"/>
      <c r="F17" s="55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9</v>
      </c>
      <c r="B19" s="5" t="s">
        <v>10</v>
      </c>
      <c r="C19" s="4" t="s">
        <v>11</v>
      </c>
      <c r="D19" s="16" t="s">
        <v>12</v>
      </c>
      <c r="E19" s="17" t="s">
        <v>13</v>
      </c>
      <c r="F19" s="16" t="s">
        <v>14</v>
      </c>
      <c r="G19" s="48" t="s">
        <v>15</v>
      </c>
      <c r="H19" s="48"/>
      <c r="I19" s="18"/>
    </row>
    <row r="20" spans="1:11">
      <c r="A20" s="19">
        <f>IF(B20&lt;2,"N/A",(STDEV(H3:H17)))</f>
        <v>295.19354703164998</v>
      </c>
      <c r="B20" s="19">
        <f>COUNT(H3:H17)</f>
        <v>3</v>
      </c>
      <c r="C20" s="20">
        <f>IF(B20&lt;2,"N/A",(A20/D20))</f>
        <v>0.61832292375871889</v>
      </c>
      <c r="D20" s="21">
        <f>ROUND(AVERAGE(H3:H17),2)</f>
        <v>477.41</v>
      </c>
      <c r="E20" s="22">
        <f>IFERROR(ROUND(IF(B20&lt;2,"N/A",(IF(C20&lt;=25%,"N/A",AVERAGE(I3:I17)))),2),"N/A")</f>
        <v>307.02999999999997</v>
      </c>
      <c r="F20" s="22">
        <f>ROUND(MEDIAN(H3:H17),2)</f>
        <v>314.10000000000002</v>
      </c>
      <c r="G20" s="23" t="str">
        <f>INDEX(G3:G17,MATCH(H20,H3:H17,0))</f>
        <v>TRE-SC - UNIMED - Contr. 21/18 - Ap. 20/21</v>
      </c>
      <c r="H20" s="24">
        <f>MIN(H3:H17)</f>
        <v>299.95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49"/>
      <c r="E22" s="49"/>
      <c r="F22" s="30"/>
      <c r="G22" s="31" t="s">
        <v>16</v>
      </c>
      <c r="H22" s="32">
        <f>IF(C20&lt;=25%,D20,MIN(E20:F20))</f>
        <v>307.02999999999997</v>
      </c>
    </row>
    <row r="23" spans="1:11">
      <c r="B23" s="25"/>
      <c r="C23" s="25"/>
      <c r="D23" s="49"/>
      <c r="E23" s="49"/>
      <c r="F23" s="33"/>
      <c r="G23" s="4" t="s">
        <v>17</v>
      </c>
      <c r="H23" s="24">
        <f>ROUND(H22,2)*D3</f>
        <v>16886.649999999998</v>
      </c>
    </row>
    <row r="24" spans="1:11">
      <c r="B24" s="29"/>
      <c r="C24" s="29"/>
      <c r="D24" s="18"/>
      <c r="E24" s="18"/>
    </row>
    <row r="26" spans="1:11" ht="12.75" customHeight="1">
      <c r="A26" s="46" t="s">
        <v>18</v>
      </c>
      <c r="B26" s="46"/>
      <c r="C26" s="46"/>
      <c r="D26" s="46"/>
      <c r="E26" s="46"/>
      <c r="F26" s="46"/>
      <c r="G26" s="46"/>
      <c r="H26" s="46"/>
      <c r="I26" s="46"/>
    </row>
    <row r="27" spans="1:11" ht="12.75" customHeight="1">
      <c r="A27" s="46" t="s">
        <v>19</v>
      </c>
      <c r="B27" s="46"/>
      <c r="C27" s="46"/>
      <c r="D27" s="46"/>
      <c r="E27" s="46"/>
      <c r="F27" s="46"/>
      <c r="G27" s="46"/>
      <c r="H27" s="46"/>
      <c r="I27" s="46"/>
    </row>
    <row r="28" spans="1:11" ht="12.75" customHeight="1">
      <c r="A28" s="46" t="s">
        <v>20</v>
      </c>
      <c r="B28" s="46"/>
      <c r="C28" s="46"/>
      <c r="D28" s="46"/>
      <c r="E28" s="46"/>
      <c r="F28" s="46"/>
      <c r="G28" s="46"/>
      <c r="H28" s="46"/>
      <c r="I28" s="46"/>
    </row>
    <row r="29" spans="1:11" ht="12.75" customHeight="1">
      <c r="A29" s="46" t="s">
        <v>21</v>
      </c>
      <c r="B29" s="46"/>
      <c r="C29" s="46"/>
      <c r="D29" s="46"/>
      <c r="E29" s="46"/>
      <c r="F29" s="46"/>
      <c r="G29" s="46"/>
      <c r="H29" s="46"/>
      <c r="I29" s="46"/>
    </row>
    <row r="30" spans="1:11" ht="12.75" customHeight="1">
      <c r="A30" s="46" t="s">
        <v>22</v>
      </c>
      <c r="B30" s="46"/>
      <c r="C30" s="46"/>
      <c r="D30" s="46"/>
      <c r="E30" s="46"/>
      <c r="F30" s="46"/>
      <c r="G30" s="46"/>
      <c r="H30" s="46"/>
      <c r="I30" s="46"/>
    </row>
    <row r="31" spans="1:11" ht="12.75" customHeight="1">
      <c r="A31" s="46" t="s">
        <v>23</v>
      </c>
      <c r="B31" s="46"/>
      <c r="C31" s="46"/>
      <c r="D31" s="46"/>
      <c r="E31" s="46"/>
      <c r="F31" s="46"/>
      <c r="G31" s="46"/>
      <c r="H31" s="46"/>
      <c r="I31" s="46"/>
    </row>
    <row r="32" spans="1:11" ht="24.75" customHeight="1">
      <c r="A32" s="47" t="s">
        <v>24</v>
      </c>
      <c r="B32" s="47"/>
      <c r="C32" s="47"/>
      <c r="D32" s="47"/>
      <c r="E32" s="47"/>
      <c r="F32" s="47"/>
      <c r="G32" s="47"/>
      <c r="H32" s="47"/>
      <c r="I32" s="47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zoomScaleNormal="100" workbookViewId="0">
      <selection activeCell="H6" sqref="H6"/>
    </sheetView>
  </sheetViews>
  <sheetFormatPr defaultColWidth="9.140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1024" width="9.140625" style="1"/>
  </cols>
  <sheetData>
    <row r="1" spans="1:9" ht="15.75">
      <c r="A1" s="50" t="s">
        <v>0</v>
      </c>
      <c r="B1" s="50"/>
      <c r="C1" s="50"/>
      <c r="D1" s="50"/>
      <c r="E1" s="50"/>
      <c r="F1" s="50"/>
      <c r="G1" s="50"/>
      <c r="H1" s="50"/>
      <c r="I1" s="50"/>
    </row>
    <row r="2" spans="1:9" ht="25.5">
      <c r="A2" s="51" t="s">
        <v>72</v>
      </c>
      <c r="B2" s="2" t="s">
        <v>1</v>
      </c>
      <c r="C2" s="2" t="s">
        <v>2</v>
      </c>
      <c r="D2" s="2" t="s">
        <v>3</v>
      </c>
      <c r="E2" s="3" t="s">
        <v>4</v>
      </c>
      <c r="F2" s="3" t="s">
        <v>5</v>
      </c>
      <c r="G2" s="2" t="s">
        <v>6</v>
      </c>
      <c r="H2" s="4" t="s">
        <v>7</v>
      </c>
      <c r="I2" s="5" t="s">
        <v>8</v>
      </c>
    </row>
    <row r="3" spans="1:9" ht="12.75" customHeight="1">
      <c r="A3" s="51"/>
      <c r="B3" s="52" t="s">
        <v>68</v>
      </c>
      <c r="C3" s="53" t="s">
        <v>60</v>
      </c>
      <c r="D3" s="54">
        <v>97</v>
      </c>
      <c r="E3" s="55">
        <f>IF(C20&lt;=25%,D20,MIN(E20:F20))</f>
        <v>345.68</v>
      </c>
      <c r="F3" s="55">
        <f>MIN(H3:H17)</f>
        <v>339.61</v>
      </c>
      <c r="G3" s="6" t="s">
        <v>78</v>
      </c>
      <c r="H3" s="7">
        <v>1164.72</v>
      </c>
      <c r="I3" s="8" t="str">
        <f t="shared" ref="I3:I17" si="0">IF(H3="","",(IF($C$20&lt;25%,"N/A",IF(H3&lt;=($D$20+$A$20),H3,"Descartado"))))</f>
        <v>Descartado</v>
      </c>
    </row>
    <row r="4" spans="1:9">
      <c r="A4" s="51"/>
      <c r="B4" s="52"/>
      <c r="C4" s="53"/>
      <c r="D4" s="54"/>
      <c r="E4" s="55"/>
      <c r="F4" s="55"/>
      <c r="G4" s="6" t="s">
        <v>79</v>
      </c>
      <c r="H4" s="7">
        <f>325.28*1.0814</f>
        <v>351.75779199999994</v>
      </c>
      <c r="I4" s="8">
        <f t="shared" si="0"/>
        <v>351.75779199999994</v>
      </c>
    </row>
    <row r="5" spans="1:9">
      <c r="A5" s="51"/>
      <c r="B5" s="52"/>
      <c r="C5" s="53"/>
      <c r="D5" s="54"/>
      <c r="E5" s="55"/>
      <c r="F5" s="55"/>
      <c r="G5" s="6" t="s">
        <v>81</v>
      </c>
      <c r="H5" s="7">
        <v>339.61</v>
      </c>
      <c r="I5" s="8">
        <f t="shared" si="0"/>
        <v>339.61</v>
      </c>
    </row>
    <row r="6" spans="1:9">
      <c r="A6" s="51"/>
      <c r="B6" s="52"/>
      <c r="C6" s="53"/>
      <c r="D6" s="54"/>
      <c r="E6" s="55"/>
      <c r="F6" s="55"/>
      <c r="G6" s="6"/>
      <c r="H6" s="7"/>
      <c r="I6" s="8" t="str">
        <f t="shared" si="0"/>
        <v/>
      </c>
    </row>
    <row r="7" spans="1:9">
      <c r="A7" s="51"/>
      <c r="B7" s="52"/>
      <c r="C7" s="53"/>
      <c r="D7" s="54"/>
      <c r="E7" s="55"/>
      <c r="F7" s="55"/>
      <c r="G7" s="6"/>
      <c r="H7" s="7"/>
      <c r="I7" s="8" t="str">
        <f t="shared" si="0"/>
        <v/>
      </c>
    </row>
    <row r="8" spans="1:9">
      <c r="A8" s="51"/>
      <c r="B8" s="52"/>
      <c r="C8" s="53"/>
      <c r="D8" s="54"/>
      <c r="E8" s="55"/>
      <c r="F8" s="55"/>
      <c r="G8" s="6"/>
      <c r="H8" s="7"/>
      <c r="I8" s="8" t="str">
        <f t="shared" si="0"/>
        <v/>
      </c>
    </row>
    <row r="9" spans="1:9">
      <c r="A9" s="51"/>
      <c r="B9" s="52"/>
      <c r="C9" s="53"/>
      <c r="D9" s="54"/>
      <c r="E9" s="55"/>
      <c r="F9" s="55"/>
      <c r="G9" s="6"/>
      <c r="H9" s="7"/>
      <c r="I9" s="8" t="str">
        <f t="shared" si="0"/>
        <v/>
      </c>
    </row>
    <row r="10" spans="1:9">
      <c r="A10" s="51"/>
      <c r="B10" s="52"/>
      <c r="C10" s="53"/>
      <c r="D10" s="54"/>
      <c r="E10" s="55"/>
      <c r="F10" s="55"/>
      <c r="G10" s="6"/>
      <c r="H10" s="7"/>
      <c r="I10" s="8" t="str">
        <f t="shared" si="0"/>
        <v/>
      </c>
    </row>
    <row r="11" spans="1:9">
      <c r="A11" s="51"/>
      <c r="B11" s="52"/>
      <c r="C11" s="53"/>
      <c r="D11" s="54"/>
      <c r="E11" s="55"/>
      <c r="F11" s="55"/>
      <c r="G11" s="6"/>
      <c r="H11" s="7"/>
      <c r="I11" s="8" t="str">
        <f t="shared" si="0"/>
        <v/>
      </c>
    </row>
    <row r="12" spans="1:9">
      <c r="A12" s="51"/>
      <c r="B12" s="52"/>
      <c r="C12" s="53"/>
      <c r="D12" s="54"/>
      <c r="E12" s="55"/>
      <c r="F12" s="55"/>
      <c r="G12" s="6"/>
      <c r="H12" s="7"/>
      <c r="I12" s="8" t="str">
        <f t="shared" si="0"/>
        <v/>
      </c>
    </row>
    <row r="13" spans="1:9">
      <c r="A13" s="51"/>
      <c r="B13" s="52"/>
      <c r="C13" s="53"/>
      <c r="D13" s="54"/>
      <c r="E13" s="55"/>
      <c r="F13" s="55"/>
      <c r="G13" s="6"/>
      <c r="H13" s="7"/>
      <c r="I13" s="8" t="str">
        <f t="shared" si="0"/>
        <v/>
      </c>
    </row>
    <row r="14" spans="1:9">
      <c r="A14" s="51"/>
      <c r="B14" s="52"/>
      <c r="C14" s="53"/>
      <c r="D14" s="54"/>
      <c r="E14" s="55"/>
      <c r="F14" s="55"/>
      <c r="G14" s="6"/>
      <c r="H14" s="7"/>
      <c r="I14" s="8" t="str">
        <f t="shared" si="0"/>
        <v/>
      </c>
    </row>
    <row r="15" spans="1:9">
      <c r="A15" s="51"/>
      <c r="B15" s="52"/>
      <c r="C15" s="53"/>
      <c r="D15" s="54"/>
      <c r="E15" s="55"/>
      <c r="F15" s="55"/>
      <c r="G15" s="6"/>
      <c r="H15" s="7"/>
      <c r="I15" s="8" t="str">
        <f t="shared" si="0"/>
        <v/>
      </c>
    </row>
    <row r="16" spans="1:9">
      <c r="A16" s="51"/>
      <c r="B16" s="52"/>
      <c r="C16" s="53"/>
      <c r="D16" s="54"/>
      <c r="E16" s="55"/>
      <c r="F16" s="55"/>
      <c r="G16" s="6"/>
      <c r="H16" s="7"/>
      <c r="I16" s="8" t="str">
        <f t="shared" si="0"/>
        <v/>
      </c>
    </row>
    <row r="17" spans="1:11">
      <c r="A17" s="51"/>
      <c r="B17" s="52"/>
      <c r="C17" s="53"/>
      <c r="D17" s="54"/>
      <c r="E17" s="55"/>
      <c r="F17" s="55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9</v>
      </c>
      <c r="B19" s="5" t="s">
        <v>10</v>
      </c>
      <c r="C19" s="4" t="s">
        <v>11</v>
      </c>
      <c r="D19" s="16" t="s">
        <v>12</v>
      </c>
      <c r="E19" s="17" t="s">
        <v>13</v>
      </c>
      <c r="F19" s="16" t="s">
        <v>14</v>
      </c>
      <c r="G19" s="48" t="s">
        <v>15</v>
      </c>
      <c r="H19" s="48"/>
      <c r="I19" s="18"/>
    </row>
    <row r="20" spans="1:11">
      <c r="A20" s="19">
        <f>IF(B20&lt;2,"N/A",(STDEV(H3:H17)))</f>
        <v>472.90972228441086</v>
      </c>
      <c r="B20" s="19">
        <f>COUNT(H3:H17)</f>
        <v>3</v>
      </c>
      <c r="C20" s="20">
        <f>IF(B20&lt;2,"N/A",(A20/D20))</f>
        <v>0.76436030755521389</v>
      </c>
      <c r="D20" s="21">
        <f>ROUND(AVERAGE(H3:H17),2)</f>
        <v>618.70000000000005</v>
      </c>
      <c r="E20" s="22">
        <f>IFERROR(ROUND(IF(B20&lt;2,"N/A",(IF(C20&lt;=25%,"N/A",AVERAGE(I3:I17)))),2),"N/A")</f>
        <v>345.68</v>
      </c>
      <c r="F20" s="22">
        <f>ROUND(MEDIAN(H3:H17),2)</f>
        <v>351.76</v>
      </c>
      <c r="G20" s="23" t="str">
        <f>INDEX(G3:G17,MATCH(H20,H3:H17,0))</f>
        <v>TRE-SC - UNIMED - Contr. 21/18 - Ap. 20/21</v>
      </c>
      <c r="H20" s="24">
        <f>MIN(H3:H17)</f>
        <v>339.61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49"/>
      <c r="E22" s="49"/>
      <c r="F22" s="30"/>
      <c r="G22" s="31" t="s">
        <v>16</v>
      </c>
      <c r="H22" s="32">
        <f>IF(C20&lt;=25%,D20,MIN(E20:F20))</f>
        <v>345.68</v>
      </c>
    </row>
    <row r="23" spans="1:11">
      <c r="B23" s="25"/>
      <c r="C23" s="25"/>
      <c r="D23" s="49"/>
      <c r="E23" s="49"/>
      <c r="F23" s="33"/>
      <c r="G23" s="4" t="s">
        <v>17</v>
      </c>
      <c r="H23" s="24">
        <f>ROUND(H22,2)*D3</f>
        <v>33530.959999999999</v>
      </c>
    </row>
    <row r="24" spans="1:11">
      <c r="B24" s="29"/>
      <c r="C24" s="29"/>
      <c r="D24" s="18"/>
      <c r="E24" s="18"/>
    </row>
    <row r="26" spans="1:11" ht="12.75" customHeight="1">
      <c r="A26" s="46" t="s">
        <v>18</v>
      </c>
      <c r="B26" s="46"/>
      <c r="C26" s="46"/>
      <c r="D26" s="46"/>
      <c r="E26" s="46"/>
      <c r="F26" s="46"/>
      <c r="G26" s="46"/>
      <c r="H26" s="46"/>
      <c r="I26" s="46"/>
    </row>
    <row r="27" spans="1:11" ht="12.75" customHeight="1">
      <c r="A27" s="46" t="s">
        <v>19</v>
      </c>
      <c r="B27" s="46"/>
      <c r="C27" s="46"/>
      <c r="D27" s="46"/>
      <c r="E27" s="46"/>
      <c r="F27" s="46"/>
      <c r="G27" s="46"/>
      <c r="H27" s="46"/>
      <c r="I27" s="46"/>
    </row>
    <row r="28" spans="1:11" ht="12.75" customHeight="1">
      <c r="A28" s="46" t="s">
        <v>20</v>
      </c>
      <c r="B28" s="46"/>
      <c r="C28" s="46"/>
      <c r="D28" s="46"/>
      <c r="E28" s="46"/>
      <c r="F28" s="46"/>
      <c r="G28" s="46"/>
      <c r="H28" s="46"/>
      <c r="I28" s="46"/>
    </row>
    <row r="29" spans="1:11" ht="12.75" customHeight="1">
      <c r="A29" s="46" t="s">
        <v>21</v>
      </c>
      <c r="B29" s="46"/>
      <c r="C29" s="46"/>
      <c r="D29" s="46"/>
      <c r="E29" s="46"/>
      <c r="F29" s="46"/>
      <c r="G29" s="46"/>
      <c r="H29" s="46"/>
      <c r="I29" s="46"/>
    </row>
    <row r="30" spans="1:11" ht="12.75" customHeight="1">
      <c r="A30" s="46" t="s">
        <v>22</v>
      </c>
      <c r="B30" s="46"/>
      <c r="C30" s="46"/>
      <c r="D30" s="46"/>
      <c r="E30" s="46"/>
      <c r="F30" s="46"/>
      <c r="G30" s="46"/>
      <c r="H30" s="46"/>
      <c r="I30" s="46"/>
    </row>
    <row r="31" spans="1:11" ht="12.75" customHeight="1">
      <c r="A31" s="46" t="s">
        <v>23</v>
      </c>
      <c r="B31" s="46"/>
      <c r="C31" s="46"/>
      <c r="D31" s="46"/>
      <c r="E31" s="46"/>
      <c r="F31" s="46"/>
      <c r="G31" s="46"/>
      <c r="H31" s="46"/>
      <c r="I31" s="46"/>
    </row>
    <row r="32" spans="1:11" ht="24.75" customHeight="1">
      <c r="A32" s="47" t="s">
        <v>24</v>
      </c>
      <c r="B32" s="47"/>
      <c r="C32" s="47"/>
      <c r="D32" s="47"/>
      <c r="E32" s="47"/>
      <c r="F32" s="47"/>
      <c r="G32" s="47"/>
      <c r="H32" s="47"/>
      <c r="I32" s="47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zoomScaleNormal="100" workbookViewId="0">
      <selection activeCell="H6" sqref="H6"/>
    </sheetView>
  </sheetViews>
  <sheetFormatPr defaultColWidth="9.140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1024" width="9.140625" style="1"/>
  </cols>
  <sheetData>
    <row r="1" spans="1:9" ht="15.75">
      <c r="A1" s="50" t="s">
        <v>0</v>
      </c>
      <c r="B1" s="50"/>
      <c r="C1" s="50"/>
      <c r="D1" s="50"/>
      <c r="E1" s="50"/>
      <c r="F1" s="50"/>
      <c r="G1" s="50"/>
      <c r="H1" s="50"/>
      <c r="I1" s="50"/>
    </row>
    <row r="2" spans="1:9" ht="25.5">
      <c r="A2" s="51" t="s">
        <v>72</v>
      </c>
      <c r="B2" s="2" t="s">
        <v>1</v>
      </c>
      <c r="C2" s="2" t="s">
        <v>2</v>
      </c>
      <c r="D2" s="2" t="s">
        <v>3</v>
      </c>
      <c r="E2" s="3" t="s">
        <v>4</v>
      </c>
      <c r="F2" s="3" t="s">
        <v>5</v>
      </c>
      <c r="G2" s="2" t="s">
        <v>6</v>
      </c>
      <c r="H2" s="4" t="s">
        <v>7</v>
      </c>
      <c r="I2" s="5" t="s">
        <v>8</v>
      </c>
    </row>
    <row r="3" spans="1:9" ht="12.75" customHeight="1">
      <c r="A3" s="51"/>
      <c r="B3" s="52" t="s">
        <v>62</v>
      </c>
      <c r="C3" s="53" t="s">
        <v>60</v>
      </c>
      <c r="D3" s="54">
        <v>110</v>
      </c>
      <c r="E3" s="55">
        <f>IF(C20&lt;=25%,D20,MIN(E20:F20))</f>
        <v>412.71</v>
      </c>
      <c r="F3" s="55">
        <f>MIN(H3:H17)</f>
        <v>385.72</v>
      </c>
      <c r="G3" s="6" t="s">
        <v>78</v>
      </c>
      <c r="H3" s="7">
        <v>1171.06</v>
      </c>
      <c r="I3" s="8" t="str">
        <f t="shared" ref="I3:I17" si="0">IF(H3="","",(IF($C$20&lt;25%,"N/A",IF(H3&lt;=($D$20+$A$20),H3,"Descartado"))))</f>
        <v>Descartado</v>
      </c>
    </row>
    <row r="4" spans="1:9">
      <c r="A4" s="51"/>
      <c r="B4" s="52"/>
      <c r="C4" s="53"/>
      <c r="D4" s="54"/>
      <c r="E4" s="55"/>
      <c r="F4" s="55"/>
      <c r="G4" s="6" t="s">
        <v>79</v>
      </c>
      <c r="H4" s="7">
        <f>406.6*1.0814</f>
        <v>439.69723999999997</v>
      </c>
      <c r="I4" s="8">
        <f t="shared" si="0"/>
        <v>439.69723999999997</v>
      </c>
    </row>
    <row r="5" spans="1:9">
      <c r="A5" s="51"/>
      <c r="B5" s="52"/>
      <c r="C5" s="53"/>
      <c r="D5" s="54"/>
      <c r="E5" s="55"/>
      <c r="F5" s="55"/>
      <c r="G5" s="6" t="s">
        <v>81</v>
      </c>
      <c r="H5" s="7">
        <v>385.72</v>
      </c>
      <c r="I5" s="8">
        <f t="shared" si="0"/>
        <v>385.72</v>
      </c>
    </row>
    <row r="6" spans="1:9">
      <c r="A6" s="51"/>
      <c r="B6" s="52"/>
      <c r="C6" s="53"/>
      <c r="D6" s="54"/>
      <c r="E6" s="55"/>
      <c r="F6" s="55"/>
      <c r="G6" s="6"/>
      <c r="H6" s="7"/>
      <c r="I6" s="8" t="str">
        <f t="shared" si="0"/>
        <v/>
      </c>
    </row>
    <row r="7" spans="1:9">
      <c r="A7" s="51"/>
      <c r="B7" s="52"/>
      <c r="C7" s="53"/>
      <c r="D7" s="54"/>
      <c r="E7" s="55"/>
      <c r="F7" s="55"/>
      <c r="G7" s="6"/>
      <c r="H7" s="7"/>
      <c r="I7" s="8" t="str">
        <f t="shared" si="0"/>
        <v/>
      </c>
    </row>
    <row r="8" spans="1:9">
      <c r="A8" s="51"/>
      <c r="B8" s="52"/>
      <c r="C8" s="53"/>
      <c r="D8" s="54"/>
      <c r="E8" s="55"/>
      <c r="F8" s="55"/>
      <c r="G8" s="6"/>
      <c r="H8" s="7"/>
      <c r="I8" s="8" t="str">
        <f t="shared" si="0"/>
        <v/>
      </c>
    </row>
    <row r="9" spans="1:9">
      <c r="A9" s="51"/>
      <c r="B9" s="52"/>
      <c r="C9" s="53"/>
      <c r="D9" s="54"/>
      <c r="E9" s="55"/>
      <c r="F9" s="55"/>
      <c r="G9" s="6"/>
      <c r="H9" s="7"/>
      <c r="I9" s="8" t="str">
        <f t="shared" si="0"/>
        <v/>
      </c>
    </row>
    <row r="10" spans="1:9">
      <c r="A10" s="51"/>
      <c r="B10" s="52"/>
      <c r="C10" s="53"/>
      <c r="D10" s="54"/>
      <c r="E10" s="55"/>
      <c r="F10" s="55"/>
      <c r="G10" s="6"/>
      <c r="H10" s="7"/>
      <c r="I10" s="8" t="str">
        <f t="shared" si="0"/>
        <v/>
      </c>
    </row>
    <row r="11" spans="1:9">
      <c r="A11" s="51"/>
      <c r="B11" s="52"/>
      <c r="C11" s="53"/>
      <c r="D11" s="54"/>
      <c r="E11" s="55"/>
      <c r="F11" s="55"/>
      <c r="G11" s="6"/>
      <c r="H11" s="7"/>
      <c r="I11" s="8" t="str">
        <f t="shared" si="0"/>
        <v/>
      </c>
    </row>
    <row r="12" spans="1:9">
      <c r="A12" s="51"/>
      <c r="B12" s="52"/>
      <c r="C12" s="53"/>
      <c r="D12" s="54"/>
      <c r="E12" s="55"/>
      <c r="F12" s="55"/>
      <c r="G12" s="6"/>
      <c r="H12" s="7"/>
      <c r="I12" s="8" t="str">
        <f t="shared" si="0"/>
        <v/>
      </c>
    </row>
    <row r="13" spans="1:9">
      <c r="A13" s="51"/>
      <c r="B13" s="52"/>
      <c r="C13" s="53"/>
      <c r="D13" s="54"/>
      <c r="E13" s="55"/>
      <c r="F13" s="55"/>
      <c r="G13" s="6"/>
      <c r="H13" s="7"/>
      <c r="I13" s="8" t="str">
        <f t="shared" si="0"/>
        <v/>
      </c>
    </row>
    <row r="14" spans="1:9">
      <c r="A14" s="51"/>
      <c r="B14" s="52"/>
      <c r="C14" s="53"/>
      <c r="D14" s="54"/>
      <c r="E14" s="55"/>
      <c r="F14" s="55"/>
      <c r="G14" s="6"/>
      <c r="H14" s="7"/>
      <c r="I14" s="8" t="str">
        <f t="shared" si="0"/>
        <v/>
      </c>
    </row>
    <row r="15" spans="1:9">
      <c r="A15" s="51"/>
      <c r="B15" s="52"/>
      <c r="C15" s="53"/>
      <c r="D15" s="54"/>
      <c r="E15" s="55"/>
      <c r="F15" s="55"/>
      <c r="G15" s="6"/>
      <c r="H15" s="7"/>
      <c r="I15" s="8" t="str">
        <f t="shared" si="0"/>
        <v/>
      </c>
    </row>
    <row r="16" spans="1:9">
      <c r="A16" s="51"/>
      <c r="B16" s="52"/>
      <c r="C16" s="53"/>
      <c r="D16" s="54"/>
      <c r="E16" s="55"/>
      <c r="F16" s="55"/>
      <c r="G16" s="6"/>
      <c r="H16" s="7"/>
      <c r="I16" s="8" t="str">
        <f t="shared" si="0"/>
        <v/>
      </c>
    </row>
    <row r="17" spans="1:11">
      <c r="A17" s="51"/>
      <c r="B17" s="52"/>
      <c r="C17" s="53"/>
      <c r="D17" s="54"/>
      <c r="E17" s="55"/>
      <c r="F17" s="55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9</v>
      </c>
      <c r="B19" s="5" t="s">
        <v>10</v>
      </c>
      <c r="C19" s="4" t="s">
        <v>11</v>
      </c>
      <c r="D19" s="16" t="s">
        <v>12</v>
      </c>
      <c r="E19" s="17" t="s">
        <v>13</v>
      </c>
      <c r="F19" s="16" t="s">
        <v>14</v>
      </c>
      <c r="G19" s="48" t="s">
        <v>15</v>
      </c>
      <c r="H19" s="48"/>
      <c r="I19" s="18"/>
    </row>
    <row r="20" spans="1:11">
      <c r="A20" s="19">
        <f>IF(B20&lt;2,"N/A",(STDEV(H3:H17)))</f>
        <v>438.66538970549362</v>
      </c>
      <c r="B20" s="19">
        <f>COUNT(H3:H17)</f>
        <v>3</v>
      </c>
      <c r="C20" s="20">
        <f>IF(B20&lt;2,"N/A",(A20/D20))</f>
        <v>0.6591615046138839</v>
      </c>
      <c r="D20" s="21">
        <f>ROUND(AVERAGE(H3:H17),2)</f>
        <v>665.49</v>
      </c>
      <c r="E20" s="22">
        <f>IFERROR(ROUND(IF(B20&lt;2,"N/A",(IF(C20&lt;=25%,"N/A",AVERAGE(I3:I17)))),2),"N/A")</f>
        <v>412.71</v>
      </c>
      <c r="F20" s="22">
        <f>ROUND(MEDIAN(H3:H17),2)</f>
        <v>439.7</v>
      </c>
      <c r="G20" s="23" t="str">
        <f>INDEX(G3:G17,MATCH(H20,H3:H17,0))</f>
        <v>TRE-SC - UNIMED - Contr. 21/18 - Ap. 20/21</v>
      </c>
      <c r="H20" s="24">
        <f>MIN(H3:H17)</f>
        <v>385.72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49"/>
      <c r="E22" s="49"/>
      <c r="F22" s="30"/>
      <c r="G22" s="31" t="s">
        <v>16</v>
      </c>
      <c r="H22" s="32">
        <f>IF(C20&lt;=25%,D20,MIN(E20:F20))</f>
        <v>412.71</v>
      </c>
    </row>
    <row r="23" spans="1:11">
      <c r="B23" s="25"/>
      <c r="C23" s="25"/>
      <c r="D23" s="49"/>
      <c r="E23" s="49"/>
      <c r="F23" s="33"/>
      <c r="G23" s="4" t="s">
        <v>17</v>
      </c>
      <c r="H23" s="24">
        <f>ROUND(H22,2)*D3</f>
        <v>45398.1</v>
      </c>
    </row>
    <row r="24" spans="1:11">
      <c r="B24" s="29"/>
      <c r="C24" s="29"/>
      <c r="D24" s="18"/>
      <c r="E24" s="18"/>
    </row>
    <row r="26" spans="1:11" ht="12.75" customHeight="1">
      <c r="A26" s="46" t="s">
        <v>18</v>
      </c>
      <c r="B26" s="46"/>
      <c r="C26" s="46"/>
      <c r="D26" s="46"/>
      <c r="E26" s="46"/>
      <c r="F26" s="46"/>
      <c r="G26" s="46"/>
      <c r="H26" s="46"/>
      <c r="I26" s="46"/>
    </row>
    <row r="27" spans="1:11" ht="12.75" customHeight="1">
      <c r="A27" s="46" t="s">
        <v>19</v>
      </c>
      <c r="B27" s="46"/>
      <c r="C27" s="46"/>
      <c r="D27" s="46"/>
      <c r="E27" s="46"/>
      <c r="F27" s="46"/>
      <c r="G27" s="46"/>
      <c r="H27" s="46"/>
      <c r="I27" s="46"/>
    </row>
    <row r="28" spans="1:11" ht="12.75" customHeight="1">
      <c r="A28" s="46" t="s">
        <v>20</v>
      </c>
      <c r="B28" s="46"/>
      <c r="C28" s="46"/>
      <c r="D28" s="46"/>
      <c r="E28" s="46"/>
      <c r="F28" s="46"/>
      <c r="G28" s="46"/>
      <c r="H28" s="46"/>
      <c r="I28" s="46"/>
    </row>
    <row r="29" spans="1:11" ht="12.75" customHeight="1">
      <c r="A29" s="46" t="s">
        <v>21</v>
      </c>
      <c r="B29" s="46"/>
      <c r="C29" s="46"/>
      <c r="D29" s="46"/>
      <c r="E29" s="46"/>
      <c r="F29" s="46"/>
      <c r="G29" s="46"/>
      <c r="H29" s="46"/>
      <c r="I29" s="46"/>
    </row>
    <row r="30" spans="1:11" ht="12.75" customHeight="1">
      <c r="A30" s="46" t="s">
        <v>22</v>
      </c>
      <c r="B30" s="46"/>
      <c r="C30" s="46"/>
      <c r="D30" s="46"/>
      <c r="E30" s="46"/>
      <c r="F30" s="46"/>
      <c r="G30" s="46"/>
      <c r="H30" s="46"/>
      <c r="I30" s="46"/>
    </row>
    <row r="31" spans="1:11" ht="12.75" customHeight="1">
      <c r="A31" s="46" t="s">
        <v>23</v>
      </c>
      <c r="B31" s="46"/>
      <c r="C31" s="46"/>
      <c r="D31" s="46"/>
      <c r="E31" s="46"/>
      <c r="F31" s="46"/>
      <c r="G31" s="46"/>
      <c r="H31" s="46"/>
      <c r="I31" s="46"/>
    </row>
    <row r="32" spans="1:11" ht="24.75" customHeight="1">
      <c r="A32" s="47" t="s">
        <v>24</v>
      </c>
      <c r="B32" s="47"/>
      <c r="C32" s="47"/>
      <c r="D32" s="47"/>
      <c r="E32" s="47"/>
      <c r="F32" s="47"/>
      <c r="G32" s="47"/>
      <c r="H32" s="47"/>
      <c r="I32" s="47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zoomScaleNormal="100" workbookViewId="0">
      <selection activeCell="H6" sqref="H6"/>
    </sheetView>
  </sheetViews>
  <sheetFormatPr defaultColWidth="9.140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1024" width="9.140625" style="1"/>
  </cols>
  <sheetData>
    <row r="1" spans="1:9" ht="15.75">
      <c r="A1" s="50" t="s">
        <v>0</v>
      </c>
      <c r="B1" s="50"/>
      <c r="C1" s="50"/>
      <c r="D1" s="50"/>
      <c r="E1" s="50"/>
      <c r="F1" s="50"/>
      <c r="G1" s="50"/>
      <c r="H1" s="50"/>
      <c r="I1" s="50"/>
    </row>
    <row r="2" spans="1:9" ht="25.5">
      <c r="A2" s="51" t="s">
        <v>72</v>
      </c>
      <c r="B2" s="2" t="s">
        <v>1</v>
      </c>
      <c r="C2" s="2" t="s">
        <v>2</v>
      </c>
      <c r="D2" s="2" t="s">
        <v>3</v>
      </c>
      <c r="E2" s="3" t="s">
        <v>4</v>
      </c>
      <c r="F2" s="3" t="s">
        <v>5</v>
      </c>
      <c r="G2" s="2" t="s">
        <v>6</v>
      </c>
      <c r="H2" s="4" t="s">
        <v>7</v>
      </c>
      <c r="I2" s="5" t="s">
        <v>8</v>
      </c>
    </row>
    <row r="3" spans="1:9" ht="12.75" customHeight="1">
      <c r="A3" s="51"/>
      <c r="B3" s="52" t="s">
        <v>69</v>
      </c>
      <c r="C3" s="53" t="s">
        <v>60</v>
      </c>
      <c r="D3" s="54">
        <v>73</v>
      </c>
      <c r="E3" s="55">
        <f>IF(C20&lt;=25%,D20,MIN(E20:F20))</f>
        <v>542.88</v>
      </c>
      <c r="F3" s="55">
        <f>MIN(H3:H17)</f>
        <v>492.13</v>
      </c>
      <c r="G3" s="6" t="s">
        <v>78</v>
      </c>
      <c r="H3" s="7">
        <v>1446.45</v>
      </c>
      <c r="I3" s="8" t="str">
        <f t="shared" ref="I3:I17" si="0">IF(H3="","",(IF($C$20&lt;25%,"N/A",IF(H3&lt;=($D$20+$A$20),H3,"Descartado"))))</f>
        <v>Descartado</v>
      </c>
    </row>
    <row r="4" spans="1:9">
      <c r="A4" s="51"/>
      <c r="B4" s="52"/>
      <c r="C4" s="53"/>
      <c r="D4" s="54"/>
      <c r="E4" s="55"/>
      <c r="F4" s="55"/>
      <c r="G4" s="6" t="s">
        <v>79</v>
      </c>
      <c r="H4" s="7">
        <f>548.94*1.0814</f>
        <v>593.62371600000006</v>
      </c>
      <c r="I4" s="8">
        <f t="shared" si="0"/>
        <v>593.62371600000006</v>
      </c>
    </row>
    <row r="5" spans="1:9">
      <c r="A5" s="51"/>
      <c r="B5" s="52"/>
      <c r="C5" s="53"/>
      <c r="D5" s="54"/>
      <c r="E5" s="55"/>
      <c r="F5" s="55"/>
      <c r="G5" s="6" t="s">
        <v>81</v>
      </c>
      <c r="H5" s="7">
        <v>492.13</v>
      </c>
      <c r="I5" s="8">
        <f t="shared" si="0"/>
        <v>492.13</v>
      </c>
    </row>
    <row r="6" spans="1:9">
      <c r="A6" s="51"/>
      <c r="B6" s="52"/>
      <c r="C6" s="53"/>
      <c r="D6" s="54"/>
      <c r="E6" s="55"/>
      <c r="F6" s="55"/>
      <c r="G6" s="6"/>
      <c r="H6" s="7"/>
      <c r="I6" s="8" t="str">
        <f t="shared" si="0"/>
        <v/>
      </c>
    </row>
    <row r="7" spans="1:9">
      <c r="A7" s="51"/>
      <c r="B7" s="52"/>
      <c r="C7" s="53"/>
      <c r="D7" s="54"/>
      <c r="E7" s="55"/>
      <c r="F7" s="55"/>
      <c r="G7" s="6"/>
      <c r="H7" s="7"/>
      <c r="I7" s="8" t="str">
        <f t="shared" si="0"/>
        <v/>
      </c>
    </row>
    <row r="8" spans="1:9">
      <c r="A8" s="51"/>
      <c r="B8" s="52"/>
      <c r="C8" s="53"/>
      <c r="D8" s="54"/>
      <c r="E8" s="55"/>
      <c r="F8" s="55"/>
      <c r="G8" s="6"/>
      <c r="H8" s="7"/>
      <c r="I8" s="8" t="str">
        <f t="shared" si="0"/>
        <v/>
      </c>
    </row>
    <row r="9" spans="1:9">
      <c r="A9" s="51"/>
      <c r="B9" s="52"/>
      <c r="C9" s="53"/>
      <c r="D9" s="54"/>
      <c r="E9" s="55"/>
      <c r="F9" s="55"/>
      <c r="G9" s="6"/>
      <c r="H9" s="7"/>
      <c r="I9" s="8" t="str">
        <f t="shared" si="0"/>
        <v/>
      </c>
    </row>
    <row r="10" spans="1:9">
      <c r="A10" s="51"/>
      <c r="B10" s="52"/>
      <c r="C10" s="53"/>
      <c r="D10" s="54"/>
      <c r="E10" s="55"/>
      <c r="F10" s="55"/>
      <c r="G10" s="6"/>
      <c r="H10" s="7"/>
      <c r="I10" s="8" t="str">
        <f t="shared" si="0"/>
        <v/>
      </c>
    </row>
    <row r="11" spans="1:9">
      <c r="A11" s="51"/>
      <c r="B11" s="52"/>
      <c r="C11" s="53"/>
      <c r="D11" s="54"/>
      <c r="E11" s="55"/>
      <c r="F11" s="55"/>
      <c r="G11" s="6"/>
      <c r="H11" s="7"/>
      <c r="I11" s="8" t="str">
        <f t="shared" si="0"/>
        <v/>
      </c>
    </row>
    <row r="12" spans="1:9">
      <c r="A12" s="51"/>
      <c r="B12" s="52"/>
      <c r="C12" s="53"/>
      <c r="D12" s="54"/>
      <c r="E12" s="55"/>
      <c r="F12" s="55"/>
      <c r="G12" s="6"/>
      <c r="H12" s="7"/>
      <c r="I12" s="8" t="str">
        <f t="shared" si="0"/>
        <v/>
      </c>
    </row>
    <row r="13" spans="1:9">
      <c r="A13" s="51"/>
      <c r="B13" s="52"/>
      <c r="C13" s="53"/>
      <c r="D13" s="54"/>
      <c r="E13" s="55"/>
      <c r="F13" s="55"/>
      <c r="G13" s="6"/>
      <c r="H13" s="7"/>
      <c r="I13" s="8" t="str">
        <f t="shared" si="0"/>
        <v/>
      </c>
    </row>
    <row r="14" spans="1:9">
      <c r="A14" s="51"/>
      <c r="B14" s="52"/>
      <c r="C14" s="53"/>
      <c r="D14" s="54"/>
      <c r="E14" s="55"/>
      <c r="F14" s="55"/>
      <c r="G14" s="6"/>
      <c r="H14" s="7"/>
      <c r="I14" s="8" t="str">
        <f t="shared" si="0"/>
        <v/>
      </c>
    </row>
    <row r="15" spans="1:9">
      <c r="A15" s="51"/>
      <c r="B15" s="52"/>
      <c r="C15" s="53"/>
      <c r="D15" s="54"/>
      <c r="E15" s="55"/>
      <c r="F15" s="55"/>
      <c r="G15" s="6"/>
      <c r="H15" s="7"/>
      <c r="I15" s="8" t="str">
        <f t="shared" si="0"/>
        <v/>
      </c>
    </row>
    <row r="16" spans="1:9">
      <c r="A16" s="51"/>
      <c r="B16" s="52"/>
      <c r="C16" s="53"/>
      <c r="D16" s="54"/>
      <c r="E16" s="55"/>
      <c r="F16" s="55"/>
      <c r="G16" s="6"/>
      <c r="H16" s="7"/>
      <c r="I16" s="8" t="str">
        <f t="shared" si="0"/>
        <v/>
      </c>
    </row>
    <row r="17" spans="1:11">
      <c r="A17" s="51"/>
      <c r="B17" s="52"/>
      <c r="C17" s="53"/>
      <c r="D17" s="54"/>
      <c r="E17" s="55"/>
      <c r="F17" s="55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9</v>
      </c>
      <c r="B19" s="5" t="s">
        <v>10</v>
      </c>
      <c r="C19" s="4" t="s">
        <v>11</v>
      </c>
      <c r="D19" s="16" t="s">
        <v>12</v>
      </c>
      <c r="E19" s="17" t="s">
        <v>13</v>
      </c>
      <c r="F19" s="16" t="s">
        <v>14</v>
      </c>
      <c r="G19" s="48" t="s">
        <v>15</v>
      </c>
      <c r="H19" s="48"/>
      <c r="I19" s="18"/>
    </row>
    <row r="20" spans="1:11">
      <c r="A20" s="19">
        <f>IF(B20&lt;2,"N/A",(STDEV(H3:H17)))</f>
        <v>524.14061527239346</v>
      </c>
      <c r="B20" s="19">
        <f>COUNT(H3:H17)</f>
        <v>3</v>
      </c>
      <c r="C20" s="20">
        <f>IF(B20&lt;2,"N/A",(A20/D20))</f>
        <v>0.62096818424110967</v>
      </c>
      <c r="D20" s="21">
        <f>ROUND(AVERAGE(H3:H17),2)</f>
        <v>844.07</v>
      </c>
      <c r="E20" s="22">
        <f>IFERROR(ROUND(IF(B20&lt;2,"N/A",(IF(C20&lt;=25%,"N/A",AVERAGE(I3:I17)))),2),"N/A")</f>
        <v>542.88</v>
      </c>
      <c r="F20" s="22">
        <f>ROUND(MEDIAN(H3:H17),2)</f>
        <v>593.62</v>
      </c>
      <c r="G20" s="23" t="str">
        <f>INDEX(G3:G17,MATCH(H20,H3:H17,0))</f>
        <v>TRE-SC - UNIMED - Contr. 21/18 - Ap. 20/21</v>
      </c>
      <c r="H20" s="24">
        <f>MIN(H3:H17)</f>
        <v>492.13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49"/>
      <c r="E22" s="49"/>
      <c r="F22" s="30"/>
      <c r="G22" s="31" t="s">
        <v>16</v>
      </c>
      <c r="H22" s="32">
        <f>IF(C20&lt;=25%,D20,MIN(E20:F20))</f>
        <v>542.88</v>
      </c>
    </row>
    <row r="23" spans="1:11">
      <c r="B23" s="25"/>
      <c r="C23" s="25"/>
      <c r="D23" s="49"/>
      <c r="E23" s="49"/>
      <c r="F23" s="33"/>
      <c r="G23" s="4" t="s">
        <v>17</v>
      </c>
      <c r="H23" s="24">
        <f>ROUND(H22,2)*D3</f>
        <v>39630.239999999998</v>
      </c>
    </row>
    <row r="24" spans="1:11">
      <c r="B24" s="29"/>
      <c r="C24" s="29"/>
      <c r="D24" s="18"/>
      <c r="E24" s="18"/>
    </row>
    <row r="26" spans="1:11" ht="12.75" customHeight="1">
      <c r="A26" s="46" t="s">
        <v>18</v>
      </c>
      <c r="B26" s="46"/>
      <c r="C26" s="46"/>
      <c r="D26" s="46"/>
      <c r="E26" s="46"/>
      <c r="F26" s="46"/>
      <c r="G26" s="46"/>
      <c r="H26" s="46"/>
      <c r="I26" s="46"/>
    </row>
    <row r="27" spans="1:11" ht="12.75" customHeight="1">
      <c r="A27" s="46" t="s">
        <v>19</v>
      </c>
      <c r="B27" s="46"/>
      <c r="C27" s="46"/>
      <c r="D27" s="46"/>
      <c r="E27" s="46"/>
      <c r="F27" s="46"/>
      <c r="G27" s="46"/>
      <c r="H27" s="46"/>
      <c r="I27" s="46"/>
    </row>
    <row r="28" spans="1:11" ht="12.75" customHeight="1">
      <c r="A28" s="46" t="s">
        <v>20</v>
      </c>
      <c r="B28" s="46"/>
      <c r="C28" s="46"/>
      <c r="D28" s="46"/>
      <c r="E28" s="46"/>
      <c r="F28" s="46"/>
      <c r="G28" s="46"/>
      <c r="H28" s="46"/>
      <c r="I28" s="46"/>
    </row>
    <row r="29" spans="1:11" ht="12.75" customHeight="1">
      <c r="A29" s="46" t="s">
        <v>21</v>
      </c>
      <c r="B29" s="46"/>
      <c r="C29" s="46"/>
      <c r="D29" s="46"/>
      <c r="E29" s="46"/>
      <c r="F29" s="46"/>
      <c r="G29" s="46"/>
      <c r="H29" s="46"/>
      <c r="I29" s="46"/>
    </row>
    <row r="30" spans="1:11" ht="12.75" customHeight="1">
      <c r="A30" s="46" t="s">
        <v>22</v>
      </c>
      <c r="B30" s="46"/>
      <c r="C30" s="46"/>
      <c r="D30" s="46"/>
      <c r="E30" s="46"/>
      <c r="F30" s="46"/>
      <c r="G30" s="46"/>
      <c r="H30" s="46"/>
      <c r="I30" s="46"/>
    </row>
    <row r="31" spans="1:11" ht="12.75" customHeight="1">
      <c r="A31" s="46" t="s">
        <v>23</v>
      </c>
      <c r="B31" s="46"/>
      <c r="C31" s="46"/>
      <c r="D31" s="46"/>
      <c r="E31" s="46"/>
      <c r="F31" s="46"/>
      <c r="G31" s="46"/>
      <c r="H31" s="46"/>
      <c r="I31" s="46"/>
    </row>
    <row r="32" spans="1:11" ht="24.75" customHeight="1">
      <c r="A32" s="47" t="s">
        <v>24</v>
      </c>
      <c r="B32" s="47"/>
      <c r="C32" s="47"/>
      <c r="D32" s="47"/>
      <c r="E32" s="47"/>
      <c r="F32" s="47"/>
      <c r="G32" s="47"/>
      <c r="H32" s="47"/>
      <c r="I32" s="47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1113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45</vt:i4>
      </vt:variant>
      <vt:variant>
        <vt:lpstr>Intervalos nomeados</vt:lpstr>
      </vt:variant>
      <vt:variant>
        <vt:i4>2</vt:i4>
      </vt:variant>
    </vt:vector>
  </HeadingPairs>
  <TitlesOfParts>
    <vt:vector size="47" baseType="lpstr">
      <vt:lpstr>Item1</vt:lpstr>
      <vt:lpstr>Item2</vt:lpstr>
      <vt:lpstr>Item3</vt:lpstr>
      <vt:lpstr>Item4</vt:lpstr>
      <vt:lpstr>Item5</vt:lpstr>
      <vt:lpstr>Item6</vt:lpstr>
      <vt:lpstr>Item7</vt:lpstr>
      <vt:lpstr>Item8</vt:lpstr>
      <vt:lpstr>Item9</vt:lpstr>
      <vt:lpstr>Item10</vt:lpstr>
      <vt:lpstr>Item11</vt:lpstr>
      <vt:lpstr>Item12</vt:lpstr>
      <vt:lpstr>Item13</vt:lpstr>
      <vt:lpstr>Item14</vt:lpstr>
      <vt:lpstr>Item15</vt:lpstr>
      <vt:lpstr>Item16</vt:lpstr>
      <vt:lpstr>Item17</vt:lpstr>
      <vt:lpstr>Item18</vt:lpstr>
      <vt:lpstr>Item19</vt:lpstr>
      <vt:lpstr>Item20</vt:lpstr>
      <vt:lpstr>Item27</vt:lpstr>
      <vt:lpstr>Item28</vt:lpstr>
      <vt:lpstr>Item29</vt:lpstr>
      <vt:lpstr>Item30</vt:lpstr>
      <vt:lpstr>Item31</vt:lpstr>
      <vt:lpstr>Item32</vt:lpstr>
      <vt:lpstr>Item33</vt:lpstr>
      <vt:lpstr>Item34</vt:lpstr>
      <vt:lpstr>Item35</vt:lpstr>
      <vt:lpstr>Item36</vt:lpstr>
      <vt:lpstr>Item37</vt:lpstr>
      <vt:lpstr>Item38</vt:lpstr>
      <vt:lpstr>Item39</vt:lpstr>
      <vt:lpstr>Item40</vt:lpstr>
      <vt:lpstr>Item41</vt:lpstr>
      <vt:lpstr>Item42</vt:lpstr>
      <vt:lpstr>Item43</vt:lpstr>
      <vt:lpstr>Item44</vt:lpstr>
      <vt:lpstr>Item45</vt:lpstr>
      <vt:lpstr>Item46</vt:lpstr>
      <vt:lpstr>Item47</vt:lpstr>
      <vt:lpstr>Item48</vt:lpstr>
      <vt:lpstr>Item49</vt:lpstr>
      <vt:lpstr>Item50</vt:lpstr>
      <vt:lpstr>TOTAL</vt:lpstr>
      <vt:lpstr>TOTAL!Area_de_impressao</vt:lpstr>
      <vt:lpstr>TOTAL!Print_Area_0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Marconni Rodrigues de AlcGntara Santos</dc:creator>
  <cp:lastModifiedBy>Milena Austregesilo Hereda</cp:lastModifiedBy>
  <cp:revision>65</cp:revision>
  <cp:lastPrinted>2022-01-17T17:17:50Z</cp:lastPrinted>
  <dcterms:created xsi:type="dcterms:W3CDTF">2019-01-16T20:04:04Z</dcterms:created>
  <dcterms:modified xsi:type="dcterms:W3CDTF">2022-02-01T21:13:34Z</dcterms:modified>
  <dc:language>pt-BR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false</vt:bool>
  </property>
  <property fmtid="{D5CDD505-2E9C-101B-9397-08002B2CF9AE}" pid="3" name="LinksUpToDate">
    <vt:bool>false</vt:bool>
  </property>
  <property fmtid="{D5CDD505-2E9C-101B-9397-08002B2CF9AE}" pid="4" name="ScaleCrop">
    <vt:bool>false</vt:bool>
  </property>
  <property fmtid="{D5CDD505-2E9C-101B-9397-08002B2CF9AE}" pid="5" name="ShareDoc">
    <vt:bool>false</vt:bool>
  </property>
</Properties>
</file>