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99" activeTab="36"/>
  </bookViews>
  <sheets>
    <sheet name="Item1" sheetId="1" r:id="rId1"/>
    <sheet name="Item2" sheetId="2" r:id="rId2"/>
    <sheet name="Item3" sheetId="3" r:id="rId3"/>
    <sheet name="Item4" sheetId="5" r:id="rId4"/>
    <sheet name="Item5" sheetId="8" r:id="rId5"/>
    <sheet name="Item6" sheetId="9" r:id="rId6"/>
    <sheet name="Item7" sheetId="11" r:id="rId7"/>
    <sheet name="Item8" sheetId="12" r:id="rId8"/>
    <sheet name="Item9" sheetId="6" r:id="rId9"/>
    <sheet name="Item10" sheetId="7" r:id="rId10"/>
    <sheet name="Item11" sheetId="4" r:id="rId11"/>
    <sheet name="Item12" sheetId="26" r:id="rId12"/>
    <sheet name="Item13" sheetId="27" r:id="rId13"/>
    <sheet name="Item28" sheetId="28" state="hidden" r:id="rId14"/>
    <sheet name="Item29" sheetId="29" state="hidden" r:id="rId15"/>
    <sheet name="Item30" sheetId="30" state="hidden" r:id="rId16"/>
    <sheet name="Item31" sheetId="31" state="hidden" r:id="rId17"/>
    <sheet name="Item32" sheetId="32" state="hidden" r:id="rId18"/>
    <sheet name="Item33" sheetId="33" state="hidden" r:id="rId19"/>
    <sheet name="Item34" sheetId="34" state="hidden" r:id="rId20"/>
    <sheet name="Item35" sheetId="35" state="hidden" r:id="rId21"/>
    <sheet name="Item36" sheetId="36" state="hidden" r:id="rId22"/>
    <sheet name="Item37" sheetId="37" state="hidden" r:id="rId23"/>
    <sheet name="Item38" sheetId="38" state="hidden" r:id="rId24"/>
    <sheet name="Item39" sheetId="39" state="hidden" r:id="rId25"/>
    <sheet name="Item40" sheetId="40" state="hidden" r:id="rId26"/>
    <sheet name="Item41" sheetId="41" state="hidden" r:id="rId27"/>
    <sheet name="Item42" sheetId="42" state="hidden" r:id="rId28"/>
    <sheet name="Item43" sheetId="43" state="hidden" r:id="rId29"/>
    <sheet name="Item44" sheetId="44" state="hidden" r:id="rId30"/>
    <sheet name="Item45" sheetId="45" state="hidden" r:id="rId31"/>
    <sheet name="Item46" sheetId="46" state="hidden" r:id="rId32"/>
    <sheet name="Item47" sheetId="47" state="hidden" r:id="rId33"/>
    <sheet name="Item48" sheetId="48" state="hidden" r:id="rId34"/>
    <sheet name="Item49" sheetId="49" state="hidden" r:id="rId35"/>
    <sheet name="Item50" sheetId="50" state="hidden" r:id="rId36"/>
    <sheet name="TOTAL" sheetId="51" r:id="rId37"/>
  </sheets>
  <definedNames>
    <definedName name="_xlnm.Print_Area" localSheetId="36">TOTAL!$A$1:$F$23</definedName>
    <definedName name="Print_Area_0" localSheetId="36">TOTAL!$A$8:$F$23</definedName>
    <definedName name="_xlnm.Print_Titles" localSheetId="36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51" l="1"/>
  <c r="F22" i="51" s="1"/>
  <c r="F23" i="51" s="1"/>
  <c r="C22" i="51"/>
  <c r="B22" i="51"/>
  <c r="D22" i="51"/>
  <c r="D3" i="26"/>
  <c r="H6" i="27"/>
  <c r="H5" i="27"/>
  <c r="H4" i="27"/>
  <c r="H3" i="27"/>
  <c r="D3" i="27"/>
  <c r="C13" i="51" l="1"/>
  <c r="D13" i="51"/>
  <c r="E13" i="51"/>
  <c r="C14" i="51"/>
  <c r="D14" i="51"/>
  <c r="E14" i="51"/>
  <c r="C15" i="51"/>
  <c r="D15" i="51"/>
  <c r="E15" i="51"/>
  <c r="C16" i="51"/>
  <c r="D16" i="51"/>
  <c r="E16" i="51"/>
  <c r="C17" i="51"/>
  <c r="D17" i="51"/>
  <c r="E17" i="51"/>
  <c r="C18" i="51"/>
  <c r="D18" i="51"/>
  <c r="C19" i="51"/>
  <c r="D19" i="51"/>
  <c r="E19" i="51"/>
  <c r="C20" i="51"/>
  <c r="D20" i="51"/>
  <c r="E20" i="51"/>
  <c r="C21" i="51"/>
  <c r="D21" i="51"/>
  <c r="B21" i="51"/>
  <c r="B20" i="51"/>
  <c r="B19" i="51"/>
  <c r="B18" i="51"/>
  <c r="B17" i="51"/>
  <c r="B16" i="51"/>
  <c r="B15" i="51"/>
  <c r="B14" i="51"/>
  <c r="B13" i="51"/>
  <c r="H6" i="12" l="1"/>
  <c r="H5" i="12"/>
  <c r="H4" i="12"/>
  <c r="H7" i="9" l="1"/>
  <c r="H6" i="9"/>
  <c r="H5" i="9"/>
  <c r="H4" i="9"/>
  <c r="H3" i="9"/>
  <c r="H13" i="5"/>
  <c r="H12" i="5"/>
  <c r="H11" i="5"/>
  <c r="H10" i="5"/>
  <c r="H9" i="5"/>
  <c r="H8" i="5"/>
  <c r="H7" i="5"/>
  <c r="H6" i="5"/>
  <c r="H5" i="5"/>
  <c r="H4" i="5"/>
  <c r="H3" i="5"/>
  <c r="H3" i="8"/>
  <c r="E11" i="51"/>
  <c r="E10" i="51"/>
  <c r="H6" i="7"/>
  <c r="H5" i="7"/>
  <c r="H4" i="7"/>
  <c r="H3" i="7"/>
  <c r="F3" i="7" l="1"/>
  <c r="F20" i="7"/>
  <c r="B20" i="6"/>
  <c r="A20" i="6" s="1"/>
  <c r="D20" i="1"/>
  <c r="B20" i="1"/>
  <c r="F13" i="51"/>
  <c r="D12" i="51"/>
  <c r="C12" i="51"/>
  <c r="B12" i="51"/>
  <c r="D11" i="51"/>
  <c r="F11" i="51" s="1"/>
  <c r="C11" i="51"/>
  <c r="B11" i="51"/>
  <c r="C10" i="51"/>
  <c r="B10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/>
  <c r="F20" i="49"/>
  <c r="D20" i="49"/>
  <c r="B20" i="49"/>
  <c r="A20" i="49"/>
  <c r="C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/>
  <c r="F20" i="47"/>
  <c r="D20" i="47"/>
  <c r="B20" i="47"/>
  <c r="A20" i="47"/>
  <c r="C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/>
  <c r="F20" i="45"/>
  <c r="D20" i="45"/>
  <c r="B20" i="45"/>
  <c r="A20" i="45"/>
  <c r="C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/>
  <c r="F20" i="43"/>
  <c r="D20" i="43"/>
  <c r="B20" i="43"/>
  <c r="A20" i="43"/>
  <c r="C20" i="43" s="1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A20" i="42" s="1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H20" i="41"/>
  <c r="G20" i="41"/>
  <c r="F20" i="41"/>
  <c r="D20" i="41"/>
  <c r="B20" i="41"/>
  <c r="A20" i="41"/>
  <c r="C20" i="41" s="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/>
  <c r="F20" i="40"/>
  <c r="D20" i="40"/>
  <c r="B20" i="40"/>
  <c r="A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/>
  <c r="F20" i="39"/>
  <c r="D20" i="39"/>
  <c r="B20" i="39"/>
  <c r="A20" i="39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B20" i="38"/>
  <c r="A20" i="38"/>
  <c r="C20" i="38" s="1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/>
  <c r="F20" i="37"/>
  <c r="D20" i="37"/>
  <c r="B20" i="37"/>
  <c r="A20" i="37"/>
  <c r="C20" i="37" s="1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B20" i="36"/>
  <c r="A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/>
  <c r="F20" i="35"/>
  <c r="D20" i="35"/>
  <c r="B20" i="35"/>
  <c r="A20" i="35"/>
  <c r="C20" i="35" s="1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B20" i="34"/>
  <c r="A20" i="34"/>
  <c r="C20" i="34" s="1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/>
  <c r="F20" i="33"/>
  <c r="D20" i="33"/>
  <c r="B20" i="33"/>
  <c r="A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/>
  <c r="F20" i="31"/>
  <c r="D20" i="31"/>
  <c r="B20" i="31"/>
  <c r="A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B20" i="30"/>
  <c r="A20" i="30"/>
  <c r="C20" i="30" s="1"/>
  <c r="I17" i="30"/>
  <c r="I16" i="30"/>
  <c r="I15" i="30"/>
  <c r="I14" i="30"/>
  <c r="I13" i="30"/>
  <c r="I12" i="30"/>
  <c r="I11" i="30"/>
  <c r="I10" i="30"/>
  <c r="I9" i="30"/>
  <c r="I8" i="30"/>
  <c r="I7" i="30"/>
  <c r="I6" i="30"/>
  <c r="F3" i="30"/>
  <c r="H20" i="29"/>
  <c r="G20" i="29"/>
  <c r="F20" i="29"/>
  <c r="D20" i="29"/>
  <c r="B20" i="29"/>
  <c r="A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I7" i="27"/>
  <c r="F3" i="27"/>
  <c r="H20" i="26"/>
  <c r="G20" i="26" s="1"/>
  <c r="F20" i="26"/>
  <c r="D20" i="26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0" i="11"/>
  <c r="G20" i="11" s="1"/>
  <c r="F20" i="11"/>
  <c r="D20" i="11"/>
  <c r="B20" i="11"/>
  <c r="I17" i="11"/>
  <c r="I16" i="11"/>
  <c r="I15" i="11"/>
  <c r="I14" i="11"/>
  <c r="I13" i="11"/>
  <c r="I12" i="11"/>
  <c r="I11" i="11"/>
  <c r="I10" i="11"/>
  <c r="I9" i="11"/>
  <c r="I8" i="11"/>
  <c r="I7" i="11"/>
  <c r="F3" i="11"/>
  <c r="H20" i="9"/>
  <c r="G20" i="9" s="1"/>
  <c r="B20" i="9"/>
  <c r="A20" i="9" s="1"/>
  <c r="I17" i="9"/>
  <c r="I16" i="9"/>
  <c r="I15" i="9"/>
  <c r="I14" i="9"/>
  <c r="I13" i="9"/>
  <c r="I12" i="9"/>
  <c r="D20" i="8"/>
  <c r="B20" i="8"/>
  <c r="A20" i="8" s="1"/>
  <c r="I17" i="8"/>
  <c r="I16" i="8"/>
  <c r="I15" i="8"/>
  <c r="I14" i="8"/>
  <c r="I13" i="8"/>
  <c r="I12" i="8"/>
  <c r="I11" i="8"/>
  <c r="I10" i="8"/>
  <c r="I9" i="8"/>
  <c r="I8" i="8"/>
  <c r="I7" i="8"/>
  <c r="I6" i="8"/>
  <c r="I17" i="7"/>
  <c r="I16" i="7"/>
  <c r="I15" i="7"/>
  <c r="I14" i="7"/>
  <c r="I13" i="7"/>
  <c r="I12" i="7"/>
  <c r="I11" i="7"/>
  <c r="I10" i="7"/>
  <c r="I9" i="7"/>
  <c r="I8" i="7"/>
  <c r="I7" i="7"/>
  <c r="F16" i="51"/>
  <c r="I17" i="6"/>
  <c r="I16" i="6"/>
  <c r="I15" i="6"/>
  <c r="I14" i="6"/>
  <c r="I13" i="6"/>
  <c r="I12" i="6"/>
  <c r="I11" i="6"/>
  <c r="I10" i="6"/>
  <c r="I9" i="6"/>
  <c r="H20" i="5"/>
  <c r="G20" i="5" s="1"/>
  <c r="I17" i="5"/>
  <c r="I16" i="5"/>
  <c r="I15" i="5"/>
  <c r="I14" i="5"/>
  <c r="F3" i="5"/>
  <c r="D20" i="4"/>
  <c r="B20" i="4"/>
  <c r="I17" i="4"/>
  <c r="I16" i="4"/>
  <c r="I15" i="4"/>
  <c r="I14" i="4"/>
  <c r="I13" i="4"/>
  <c r="I12" i="4"/>
  <c r="I11" i="4"/>
  <c r="I10" i="4"/>
  <c r="I9" i="4"/>
  <c r="I8" i="4"/>
  <c r="F3" i="4"/>
  <c r="F20" i="3"/>
  <c r="D20" i="3"/>
  <c r="B20" i="3"/>
  <c r="A20" i="3" s="1"/>
  <c r="I17" i="3"/>
  <c r="I16" i="3"/>
  <c r="I15" i="3"/>
  <c r="I14" i="3"/>
  <c r="F3" i="3"/>
  <c r="I17" i="2"/>
  <c r="I16" i="2"/>
  <c r="I15" i="2"/>
  <c r="I14" i="2"/>
  <c r="I13" i="2"/>
  <c r="I12" i="2"/>
  <c r="I11" i="2"/>
  <c r="I10" i="2"/>
  <c r="I9" i="2"/>
  <c r="I8" i="2"/>
  <c r="F20" i="1"/>
  <c r="I17" i="1"/>
  <c r="I16" i="1"/>
  <c r="I15" i="1"/>
  <c r="I14" i="1"/>
  <c r="I13" i="1"/>
  <c r="I12" i="1"/>
  <c r="I11" i="1"/>
  <c r="I10" i="1"/>
  <c r="I9" i="1"/>
  <c r="I8" i="1"/>
  <c r="I7" i="1"/>
  <c r="F3" i="1"/>
  <c r="D10" i="51"/>
  <c r="F10" i="51" s="1"/>
  <c r="C20" i="26" l="1"/>
  <c r="I6" i="26" s="1"/>
  <c r="H20" i="12"/>
  <c r="G20" i="12" s="1"/>
  <c r="F3" i="12"/>
  <c r="B20" i="12"/>
  <c r="A20" i="12" s="1"/>
  <c r="C20" i="12" s="1"/>
  <c r="F20" i="9"/>
  <c r="D20" i="9"/>
  <c r="C20" i="9" s="1"/>
  <c r="I7" i="9" s="1"/>
  <c r="F3" i="9"/>
  <c r="F3" i="8"/>
  <c r="C20" i="8"/>
  <c r="I5" i="8" s="1"/>
  <c r="F20" i="8"/>
  <c r="H20" i="8"/>
  <c r="G20" i="8" s="1"/>
  <c r="H20" i="7"/>
  <c r="G20" i="7" s="1"/>
  <c r="D20" i="7"/>
  <c r="B20" i="7"/>
  <c r="H20" i="6"/>
  <c r="G20" i="6" s="1"/>
  <c r="F3" i="6"/>
  <c r="D20" i="6"/>
  <c r="C20" i="6" s="1"/>
  <c r="F20" i="6"/>
  <c r="F20" i="5"/>
  <c r="D20" i="5"/>
  <c r="B20" i="5"/>
  <c r="A20" i="5" s="1"/>
  <c r="H20" i="4"/>
  <c r="G20" i="4" s="1"/>
  <c r="F20" i="4"/>
  <c r="A20" i="4"/>
  <c r="C20" i="4" s="1"/>
  <c r="H20" i="3"/>
  <c r="G20" i="3" s="1"/>
  <c r="C20" i="3"/>
  <c r="F3" i="2"/>
  <c r="B20" i="2"/>
  <c r="A20" i="2" s="1"/>
  <c r="H20" i="2"/>
  <c r="G20" i="2" s="1"/>
  <c r="D20" i="2"/>
  <c r="F20" i="2"/>
  <c r="H20" i="1"/>
  <c r="G20" i="1" s="1"/>
  <c r="A20" i="1"/>
  <c r="C20" i="1" s="1"/>
  <c r="I4" i="1" s="1"/>
  <c r="A20" i="11"/>
  <c r="C20" i="11" s="1"/>
  <c r="I5" i="41"/>
  <c r="I4" i="41"/>
  <c r="I3" i="41"/>
  <c r="I5" i="43"/>
  <c r="I4" i="43"/>
  <c r="I3" i="43"/>
  <c r="E20" i="43" s="1"/>
  <c r="I5" i="47"/>
  <c r="I4" i="47"/>
  <c r="I3" i="47"/>
  <c r="E20" i="47" s="1"/>
  <c r="I4" i="30"/>
  <c r="I3" i="30"/>
  <c r="E20" i="30" s="1"/>
  <c r="I5" i="30"/>
  <c r="E20" i="41"/>
  <c r="H22" i="41" s="1"/>
  <c r="H23" i="41" s="1"/>
  <c r="I4" i="42"/>
  <c r="I3" i="42"/>
  <c r="I5" i="42"/>
  <c r="E20" i="42" s="1"/>
  <c r="I4" i="28"/>
  <c r="I3" i="28"/>
  <c r="E20" i="28" s="1"/>
  <c r="I5" i="28"/>
  <c r="I4" i="40"/>
  <c r="I3" i="40"/>
  <c r="E20" i="40" s="1"/>
  <c r="I5" i="40"/>
  <c r="I5" i="35"/>
  <c r="I4" i="35"/>
  <c r="I3" i="35"/>
  <c r="E20" i="35" s="1"/>
  <c r="I5" i="45"/>
  <c r="I4" i="45"/>
  <c r="I3" i="45"/>
  <c r="E20" i="45" s="1"/>
  <c r="I5" i="49"/>
  <c r="I4" i="49"/>
  <c r="I3" i="49"/>
  <c r="E20" i="49" s="1"/>
  <c r="I5" i="37"/>
  <c r="I4" i="37"/>
  <c r="I3" i="37"/>
  <c r="E20" i="37" s="1"/>
  <c r="I4" i="34"/>
  <c r="I3" i="34"/>
  <c r="I5" i="34"/>
  <c r="E20" i="34" s="1"/>
  <c r="I5" i="26"/>
  <c r="E20" i="32"/>
  <c r="E3" i="32" s="1"/>
  <c r="I4" i="32"/>
  <c r="I3" i="32"/>
  <c r="I5" i="32"/>
  <c r="I4" i="38"/>
  <c r="E20" i="38" s="1"/>
  <c r="I3" i="38"/>
  <c r="I5" i="38"/>
  <c r="I5" i="39"/>
  <c r="I4" i="39"/>
  <c r="I3" i="39"/>
  <c r="E20" i="39" s="1"/>
  <c r="C20" i="27"/>
  <c r="I6" i="27" s="1"/>
  <c r="C20" i="29"/>
  <c r="C20" i="31"/>
  <c r="C20" i="33"/>
  <c r="A20" i="44"/>
  <c r="C20" i="44" s="1"/>
  <c r="A20" i="46"/>
  <c r="A20" i="48"/>
  <c r="C20" i="48" s="1"/>
  <c r="A20" i="50"/>
  <c r="C20" i="36"/>
  <c r="C20" i="46"/>
  <c r="C20" i="50"/>
  <c r="I3" i="26" l="1"/>
  <c r="I4" i="26"/>
  <c r="I12" i="3"/>
  <c r="I13" i="3"/>
  <c r="I5" i="11"/>
  <c r="I6" i="11"/>
  <c r="I4" i="11"/>
  <c r="E20" i="11"/>
  <c r="E3" i="11" s="1"/>
  <c r="F19" i="51" s="1"/>
  <c r="I10" i="3"/>
  <c r="I11" i="3"/>
  <c r="I6" i="3"/>
  <c r="I9" i="3"/>
  <c r="I3" i="9"/>
  <c r="I9" i="9"/>
  <c r="I11" i="9"/>
  <c r="I5" i="9"/>
  <c r="I4" i="9"/>
  <c r="I6" i="9"/>
  <c r="I10" i="9"/>
  <c r="I8" i="9"/>
  <c r="I3" i="8"/>
  <c r="I4" i="8"/>
  <c r="E20" i="8"/>
  <c r="H22" i="8" s="1"/>
  <c r="H23" i="8" s="1"/>
  <c r="A20" i="7"/>
  <c r="C20" i="7" s="1"/>
  <c r="C20" i="5"/>
  <c r="I10" i="5" s="1"/>
  <c r="I7" i="4"/>
  <c r="I4" i="4"/>
  <c r="I3" i="4"/>
  <c r="I5" i="4"/>
  <c r="I6" i="4"/>
  <c r="I8" i="3"/>
  <c r="I5" i="3"/>
  <c r="I3" i="3"/>
  <c r="I7" i="3"/>
  <c r="I4" i="3"/>
  <c r="C20" i="2"/>
  <c r="I7" i="2" s="1"/>
  <c r="I5" i="1"/>
  <c r="I6" i="1"/>
  <c r="I3" i="1"/>
  <c r="H22" i="30"/>
  <c r="H23" i="30" s="1"/>
  <c r="E3" i="30"/>
  <c r="E3" i="42"/>
  <c r="H22" i="42"/>
  <c r="H23" i="42" s="1"/>
  <c r="H22" i="37"/>
  <c r="H23" i="37" s="1"/>
  <c r="E3" i="37"/>
  <c r="H22" i="43"/>
  <c r="H23" i="43" s="1"/>
  <c r="E3" i="43"/>
  <c r="I4" i="48"/>
  <c r="I3" i="48"/>
  <c r="I5" i="48"/>
  <c r="E20" i="48"/>
  <c r="H22" i="48" s="1"/>
  <c r="H23" i="48" s="1"/>
  <c r="H22" i="38"/>
  <c r="H23" i="38" s="1"/>
  <c r="E3" i="38"/>
  <c r="H22" i="45"/>
  <c r="H23" i="45" s="1"/>
  <c r="E3" i="45"/>
  <c r="H22" i="28"/>
  <c r="H23" i="28" s="1"/>
  <c r="E3" i="28"/>
  <c r="I3" i="12"/>
  <c r="I6" i="12"/>
  <c r="I5" i="12"/>
  <c r="I4" i="12"/>
  <c r="H22" i="49"/>
  <c r="H23" i="49" s="1"/>
  <c r="E3" i="49"/>
  <c r="H22" i="35"/>
  <c r="H23" i="35" s="1"/>
  <c r="E3" i="35"/>
  <c r="E20" i="29"/>
  <c r="H22" i="29" s="1"/>
  <c r="H23" i="29" s="1"/>
  <c r="H22" i="47"/>
  <c r="H23" i="47" s="1"/>
  <c r="E3" i="47"/>
  <c r="H22" i="39"/>
  <c r="H23" i="39" s="1"/>
  <c r="E3" i="39"/>
  <c r="E3" i="34"/>
  <c r="H22" i="34"/>
  <c r="H23" i="34" s="1"/>
  <c r="H22" i="40"/>
  <c r="H23" i="40" s="1"/>
  <c r="E3" i="40"/>
  <c r="I4" i="36"/>
  <c r="E20" i="36" s="1"/>
  <c r="I3" i="36"/>
  <c r="I5" i="36"/>
  <c r="I5" i="33"/>
  <c r="I4" i="33"/>
  <c r="I3" i="33"/>
  <c r="I4" i="50"/>
  <c r="I3" i="50"/>
  <c r="H22" i="50"/>
  <c r="H23" i="50" s="1"/>
  <c r="I5" i="50"/>
  <c r="H22" i="32"/>
  <c r="H23" i="32" s="1"/>
  <c r="E20" i="50"/>
  <c r="E3" i="50" s="1"/>
  <c r="I5" i="27"/>
  <c r="I4" i="27"/>
  <c r="I3" i="27"/>
  <c r="E20" i="27" s="1"/>
  <c r="E3" i="27" s="1"/>
  <c r="H22" i="27"/>
  <c r="H23" i="27" s="1"/>
  <c r="I5" i="29"/>
  <c r="I4" i="29"/>
  <c r="I3" i="29"/>
  <c r="I4" i="46"/>
  <c r="E20" i="46" s="1"/>
  <c r="I3" i="46"/>
  <c r="I5" i="46"/>
  <c r="I4" i="44"/>
  <c r="I3" i="44"/>
  <c r="I5" i="44"/>
  <c r="I5" i="6"/>
  <c r="I4" i="6"/>
  <c r="I6" i="6"/>
  <c r="I3" i="6"/>
  <c r="I8" i="6"/>
  <c r="I7" i="6"/>
  <c r="E20" i="44"/>
  <c r="H22" i="44" s="1"/>
  <c r="H23" i="44" s="1"/>
  <c r="E3" i="41"/>
  <c r="I5" i="31"/>
  <c r="I4" i="31"/>
  <c r="I3" i="31"/>
  <c r="E20" i="31" s="1"/>
  <c r="H22" i="31" s="1"/>
  <c r="H23" i="31" s="1"/>
  <c r="I3" i="11"/>
  <c r="H22" i="11"/>
  <c r="H23" i="11" s="1"/>
  <c r="E20" i="33"/>
  <c r="H22" i="33" s="1"/>
  <c r="H23" i="33" s="1"/>
  <c r="E20" i="26" l="1"/>
  <c r="H22" i="26" s="1"/>
  <c r="H23" i="26" s="1"/>
  <c r="E20" i="12"/>
  <c r="H22" i="12" s="1"/>
  <c r="H23" i="12" s="1"/>
  <c r="I12" i="5"/>
  <c r="I13" i="5"/>
  <c r="I9" i="5"/>
  <c r="I11" i="5"/>
  <c r="I4" i="5"/>
  <c r="I3" i="5"/>
  <c r="E3" i="8"/>
  <c r="F17" i="51" s="1"/>
  <c r="E20" i="9"/>
  <c r="E3" i="9" s="1"/>
  <c r="I6" i="7"/>
  <c r="I3" i="7"/>
  <c r="E20" i="7"/>
  <c r="E3" i="7" s="1"/>
  <c r="I5" i="7"/>
  <c r="I4" i="7"/>
  <c r="E20" i="6"/>
  <c r="E3" i="6" s="1"/>
  <c r="I5" i="5"/>
  <c r="I6" i="5"/>
  <c r="I8" i="5"/>
  <c r="I7" i="5"/>
  <c r="E20" i="4"/>
  <c r="E20" i="3"/>
  <c r="E3" i="3" s="1"/>
  <c r="E12" i="51" s="1"/>
  <c r="F12" i="51" s="1"/>
  <c r="I5" i="2"/>
  <c r="I6" i="2"/>
  <c r="I4" i="2"/>
  <c r="E20" i="2"/>
  <c r="E3" i="2" s="1"/>
  <c r="I3" i="2"/>
  <c r="H22" i="2"/>
  <c r="H23" i="2" s="1"/>
  <c r="E20" i="1"/>
  <c r="H22" i="46"/>
  <c r="H23" i="46" s="1"/>
  <c r="E3" i="46"/>
  <c r="H22" i="36"/>
  <c r="H23" i="36" s="1"/>
  <c r="E3" i="36"/>
  <c r="E3" i="33"/>
  <c r="E3" i="48"/>
  <c r="E3" i="31"/>
  <c r="E3" i="44"/>
  <c r="E3" i="29"/>
  <c r="E3" i="26" l="1"/>
  <c r="E21" i="51" s="1"/>
  <c r="F21" i="51" s="1"/>
  <c r="F15" i="51"/>
  <c r="E18" i="51"/>
  <c r="F18" i="51" s="1"/>
  <c r="E3" i="12"/>
  <c r="F20" i="51" s="1"/>
  <c r="E20" i="5"/>
  <c r="E3" i="5" s="1"/>
  <c r="F14" i="51" s="1"/>
  <c r="H22" i="7"/>
  <c r="H23" i="7" s="1"/>
  <c r="H22" i="9"/>
  <c r="H23" i="9" s="1"/>
  <c r="H22" i="6"/>
  <c r="H23" i="6" s="1"/>
  <c r="E3" i="4"/>
  <c r="H22" i="4"/>
  <c r="H23" i="4" s="1"/>
  <c r="H22" i="3"/>
  <c r="H23" i="3" s="1"/>
  <c r="H22" i="1"/>
  <c r="H23" i="1" s="1"/>
  <c r="E3" i="1"/>
  <c r="H22" i="5" l="1"/>
  <c r="H23" i="5" s="1"/>
</calcChain>
</file>

<file path=xl/sharedStrings.xml><?xml version="1.0" encoding="utf-8"?>
<sst xmlns="http://schemas.openxmlformats.org/spreadsheetml/2006/main" count="1140" uniqueCount="127">
  <si>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</si>
  <si>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</si>
  <si>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</si>
  <si>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</si>
  <si>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</si>
  <si>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</si>
  <si>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</si>
  <si>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</si>
  <si>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</si>
  <si>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</si>
  <si>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</si>
  <si>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</si>
  <si>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</si>
  <si>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</si>
  <si>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</si>
  <si>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</si>
  <si>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</si>
  <si>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</si>
  <si>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</si>
  <si>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</si>
  <si>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</si>
  <si>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</si>
  <si>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</si>
  <si>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</si>
  <si>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</si>
  <si>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</si>
  <si>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</si>
  <si>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</si>
  <si>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unidade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</si>
  <si>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</si>
  <si>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</si>
  <si>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</si>
  <si>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</si>
  <si>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</si>
  <si>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</si>
  <si>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</si>
  <si>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</si>
  <si>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</si>
  <si>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</si>
  <si>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</si>
  <si>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</si>
  <si>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</si>
  <si>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</si>
  <si>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</si>
  <si>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</si>
  <si>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</si>
  <si>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</si>
  <si>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</si>
  <si>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</si>
  <si>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</si>
  <si>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</si>
  <si>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</si>
  <si>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</si>
  <si>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</si>
  <si>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</si>
  <si>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</si>
  <si>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</si>
  <si>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</si>
  <si>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</si>
  <si>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</si>
  <si>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</si>
  <si>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</si>
  <si>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</si>
  <si>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</si>
  <si>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</si>
  <si>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</si>
  <si>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</si>
  <si>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</si>
  <si>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</si>
  <si>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</si>
  <si>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</si>
  <si>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</si>
  <si>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</si>
  <si>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Nó de Hiperconvergência HPE Simplivity Extra Large</t>
  </si>
  <si>
    <t>Servidor de Rede</t>
  </si>
  <si>
    <t>Unidade de Armazenamento NAS</t>
  </si>
  <si>
    <t>Unidade de Cópia de Segurança Automatizada</t>
  </si>
  <si>
    <t>VMWare Network Virtualization and Security Platform Advanced Edition (VMware NSX)</t>
  </si>
  <si>
    <t>Licença de Windows Server Datacenter 2019</t>
  </si>
  <si>
    <t>Windows Server Datacenter 2019 CAL</t>
  </si>
  <si>
    <t>Appliance Virtual de Balanceamento de Carga com Firewall de Aplicações</t>
  </si>
  <si>
    <t>Programa de Prospecção de Vulnerabilidades em Computadores</t>
  </si>
  <si>
    <t>Certificados Digitais A1 SSL</t>
  </si>
  <si>
    <t>Assinatura de Suporte técnico e atualizações para Zimbra Network Edition</t>
  </si>
  <si>
    <t>SCJ SEGURANÇA</t>
  </si>
  <si>
    <t>T. DOS SANTOS</t>
  </si>
  <si>
    <t>KTREE PENSO TECNOLOGIA</t>
  </si>
  <si>
    <t>SEPROL COMÉRCIO E CONSULTORIA</t>
  </si>
  <si>
    <t>SATURNO SOFTWARE E SISTEMAS LTDA</t>
  </si>
  <si>
    <t>STAR RUM INFORMATICA EIRELI</t>
  </si>
  <si>
    <t>LAURO RENATO ROCHA LIMA</t>
  </si>
  <si>
    <t>PISONTEC COMERCIO E SERVICOS EM TECNOLOGIA DA INFORMACA</t>
  </si>
  <si>
    <t>LOGICALIS</t>
  </si>
  <si>
    <t>LICITEC TECNOLOGIA EIRELI</t>
  </si>
  <si>
    <t>MATHEUS DOS SANTOS</t>
  </si>
  <si>
    <t>ANDREA LIGUORI CARDOSO 11088243827</t>
  </si>
  <si>
    <t>O2 SOLUCOES EM TECNOLOGIA DIGITAL LTDA</t>
  </si>
  <si>
    <t>AMERICA TECNOLOGIA DE INFORMATICA E ELETRO-ELETRONICO</t>
  </si>
  <si>
    <t>DRIVE A INFORMATICA LTDA</t>
  </si>
  <si>
    <t>ZOOM TECNOLOGIA LTDA</t>
  </si>
  <si>
    <t>NORTHWARE COMERCIO E SERVICOS LTDA</t>
  </si>
  <si>
    <t>PRIMETECH INFORMATICA EIRELI</t>
  </si>
  <si>
    <t>SEAL TELECOM COMERCIO E SERVICOS DE TELECOMUNICACOES LT</t>
  </si>
  <si>
    <t>04.958.321/0001-54 HARDLINK INFORMATICA E SISTEMAS LTDA</t>
  </si>
  <si>
    <t>14.139.773/0001-68 EXTREME DIGITAL CONSULTORIA E REPRESENTACOES LTDA</t>
  </si>
  <si>
    <t>20.621.724/0001-60 CONVERGE DATA TECNOLOGIA DA INFORMACAO LTDA</t>
  </si>
  <si>
    <t>05.673.799/0001-09 PPN TECNOLOGIA E INFORMATICA LTDA</t>
  </si>
  <si>
    <t>03.989.599/0001-26 ADDED COMPUTER &amp; TELEPHONY COMERCIO E SERVICOS LTDA</t>
  </si>
  <si>
    <t>05.437.734/0006-60 NTT BRASIL COMERCIO E SERVICOS DE TECNOLOGIA LTDA</t>
  </si>
  <si>
    <t>03.263.975/0001-09 SYSTECH SISTEMAS E TECNOLOGIA EM INFORMATICA LTDA</t>
  </si>
  <si>
    <t>01.181.242/0003-53 COMPWIRE INFORMATICA LTDA</t>
  </si>
  <si>
    <t>94.316.916/0005-22 LTA-RH INFORMATICA, COMERCIO, REPRESENTACOES LTDA</t>
  </si>
  <si>
    <t>07.192.480/0001-89 AMM TECNOLOGIA E SERVICOS DE INFORMATICA LTDA</t>
  </si>
  <si>
    <t>32.578.387/0003-16 UNITECH RIO COMERCIO E SERVICOS LTDA</t>
  </si>
  <si>
    <t>20.022.974/0001-83 NORDEN TECNOLOGIA LTDA</t>
  </si>
  <si>
    <t>01.134.191/0002-28 SERVIX INFORMATICA LTDA</t>
  </si>
  <si>
    <t>04.892.991/0001-15 TELTEC SOLUTIONS LTDA</t>
  </si>
  <si>
    <t>10.757.593/0001-99 THS TECNOLOGIA INFORMACAO E COMUNICACAO LTDA</t>
  </si>
  <si>
    <t>01.707.536/0001-04 ISH TECNOLOGIA S/A</t>
  </si>
  <si>
    <t>CERTISIGN</t>
  </si>
  <si>
    <t>SERASA EXPERIAN</t>
  </si>
  <si>
    <t>SOLUTI</t>
  </si>
  <si>
    <t>ALE1</t>
  </si>
  <si>
    <t>01.427.728/0001-67 INOVA TECNOLOGIAS DE INFORMACAO E REPRESENTACOES LTDA</t>
  </si>
  <si>
    <t>12.625.657/0001-23 BK TECNOLOGIA DA INFORMACAO LTDA</t>
  </si>
  <si>
    <t>RM NOTEBOOK</t>
  </si>
  <si>
    <t>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</si>
</sst>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7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0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3" fillId="0" borderId="2" xfId="0" applyNumberFormat="1" applyFont="1" applyBorder="1" applyAlignment="1" applyProtection="1">
      <alignment horizont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3" fillId="0" borderId="0" xfId="0" applyNumberFormat="1" applyFont="1" applyBorder="1" applyAlignment="1" applyProtection="1">
      <alignment horizontal="center"/>
      <protection locked="0"/>
    </xf>
    <xf numFmtId="0" fontId="13" fillId="10" borderId="2" xfId="0" applyFont="1" applyFill="1" applyBorder="1" applyAlignment="1" applyProtection="1">
      <alignment horizontal="center" vertical="center"/>
    </xf>
    <xf numFmtId="0" fontId="13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4" fillId="10" borderId="4" xfId="0" applyNumberFormat="1" applyFont="1" applyFill="1" applyBorder="1" applyAlignment="1" applyProtection="1">
      <alignment horizontal="center" shrinkToFi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4" fillId="0" borderId="0" xfId="0" applyNumberFormat="1" applyFont="1" applyBorder="1" applyAlignment="1" applyProtection="1">
      <protection locked="0"/>
    </xf>
    <xf numFmtId="164" fontId="13" fillId="10" borderId="2" xfId="0" applyNumberFormat="1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right" shrinkToFit="1"/>
    </xf>
    <xf numFmtId="164" fontId="13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9" borderId="2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2" fillId="10" borderId="2" xfId="1" applyFont="1" applyFill="1" applyBorder="1" applyAlignment="1" applyProtection="1">
      <alignment vertical="center" wrapText="1"/>
    </xf>
    <xf numFmtId="165" fontId="11" fillId="9" borderId="2" xfId="0" applyNumberFormat="1" applyFont="1" applyFill="1" applyBorder="1" applyAlignment="1">
      <alignment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vertical="center" shrinkToFit="1"/>
    </xf>
    <xf numFmtId="0" fontId="14" fillId="0" borderId="2" xfId="0" applyFont="1" applyBorder="1" applyAlignment="1" applyProtection="1">
      <alignment vertical="top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3095625</xdr:colOff>
      <xdr:row>0</xdr:row>
      <xdr:rowOff>1</xdr:rowOff>
    </xdr:from>
    <xdr:to>
      <xdr:col>2</xdr:col>
      <xdr:colOff>200025</xdr:colOff>
      <xdr:row>6</xdr:row>
      <xdr:rowOff>129925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5225" y="1"/>
          <a:ext cx="2895600" cy="110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3" sqref="B3:B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73</v>
      </c>
      <c r="C3" s="54" t="s">
        <v>28</v>
      </c>
      <c r="D3" s="55">
        <v>5</v>
      </c>
      <c r="E3" s="56">
        <f>IF(C20&lt;=25%,D20,MIN(E20:F20))</f>
        <v>560000</v>
      </c>
      <c r="F3" s="56">
        <f>MIN(H3:H17)</f>
        <v>560000</v>
      </c>
      <c r="G3" s="6" t="s">
        <v>87</v>
      </c>
      <c r="H3" s="7">
        <v>560000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560000</v>
      </c>
      <c r="E20" s="22" t="str">
        <f>IFERROR(ROUND(IF(B20&lt;2,"N/A",(IF(C20&lt;=25%,"N/A",AVERAGE(I3:I17)))),2),"N/A")</f>
        <v>N/A</v>
      </c>
      <c r="F20" s="22">
        <f>ROUND(MEDIAN(H3:H17),2)</f>
        <v>560000</v>
      </c>
      <c r="G20" s="23" t="str">
        <f>INDEX(G3:G17,MATCH(H20,H3:H17,0))</f>
        <v>SEPROL COMÉRCIO E CONSULTORIA</v>
      </c>
      <c r="H20" s="24">
        <f>MIN(H3:H17)</f>
        <v>560000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560000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2800000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79</v>
      </c>
      <c r="C3" s="54" t="s">
        <v>28</v>
      </c>
      <c r="D3" s="55">
        <v>403</v>
      </c>
      <c r="E3" s="56">
        <f>IF(C20&lt;=25%,D20,MIN(E20:F20))</f>
        <v>198.5</v>
      </c>
      <c r="F3" s="56">
        <f>MIN(H3:H17)</f>
        <v>190.90909090909091</v>
      </c>
      <c r="G3" s="6" t="s">
        <v>88</v>
      </c>
      <c r="H3" s="7">
        <f>21000/110</f>
        <v>190.90909090909091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f>21068.9/110</f>
        <v>191.53545454545457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90</v>
      </c>
      <c r="H5" s="7">
        <f>21069/110</f>
        <v>191.53636363636363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91</v>
      </c>
      <c r="H6" s="7">
        <f>24200/110</f>
        <v>220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14.339559901476893</v>
      </c>
      <c r="B20" s="19">
        <f>COUNT(H3:H17)</f>
        <v>4</v>
      </c>
      <c r="C20" s="20">
        <f>IF(B20&lt;2,"N/A",(A20/D20))</f>
        <v>7.2239596480991902E-2</v>
      </c>
      <c r="D20" s="21">
        <f>ROUND(AVERAGE(H3:H17),2)</f>
        <v>198.5</v>
      </c>
      <c r="E20" s="22" t="str">
        <f>IFERROR(ROUND(IF(B20&lt;2,"N/A",(IF(C20&lt;=25%,"N/A",AVERAGE(I3:I17)))),2),"N/A")</f>
        <v>N/A</v>
      </c>
      <c r="F20" s="22">
        <f>ROUND(MEDIAN(H3:H17),2)</f>
        <v>191.54</v>
      </c>
      <c r="G20" s="23" t="str">
        <f>INDEX(G3:G17,MATCH(H20,H3:H17,0))</f>
        <v>SATURNO SOFTWARE E SISTEMAS LTDA</v>
      </c>
      <c r="H20" s="24">
        <f>MIN(H3:H17)</f>
        <v>190.90909090909091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198.5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79995.5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76</v>
      </c>
      <c r="C3" s="54" t="s">
        <v>28</v>
      </c>
      <c r="D3" s="55">
        <v>2</v>
      </c>
      <c r="E3" s="56">
        <f>IF(C20&lt;=25%,D20,MIN(E20:F20))</f>
        <v>224000</v>
      </c>
      <c r="F3" s="56">
        <f>MIN(H3:H17)</f>
        <v>224000</v>
      </c>
      <c r="G3" s="6" t="s">
        <v>87</v>
      </c>
      <c r="H3" s="7">
        <v>224000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7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7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224000</v>
      </c>
      <c r="E20" s="22" t="str">
        <f>IFERROR(ROUND(IF(B20&lt;2,"N/A",(IF(C20&lt;=25%,"N/A",AVERAGE(I3:I17)))),2),"N/A")</f>
        <v>N/A</v>
      </c>
      <c r="F20" s="22">
        <f>ROUND(MEDIAN(H3:H17),2)</f>
        <v>224000</v>
      </c>
      <c r="G20" s="23" t="str">
        <f>INDEX(G3:G17,MATCH(H20,H3:H17,0))</f>
        <v>SEPROL COMÉRCIO E CONSULTORIA</v>
      </c>
      <c r="H20" s="24">
        <f>MIN(H3:H17)</f>
        <v>224000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224000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448000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78</v>
      </c>
      <c r="C3" s="54" t="s">
        <v>28</v>
      </c>
      <c r="D3" s="55">
        <f>100-Item9!D3</f>
        <v>93</v>
      </c>
      <c r="E3" s="56">
        <f>IF(C20&lt;=25%,D20,MIN(E20:F20))</f>
        <v>10945</v>
      </c>
      <c r="F3" s="56">
        <f>MIN(H3:H17)</f>
        <v>10890</v>
      </c>
      <c r="G3" s="6" t="s">
        <v>90</v>
      </c>
      <c r="H3" s="7">
        <v>11000</v>
      </c>
      <c r="I3" s="8">
        <f t="shared" ref="I3:I17" si="0">IF(H3="","",(IF($C$20&lt;25%,"N/A",IF(H3&lt;=($D$20+$A$20),H3,"Descartado"))))</f>
        <v>11000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v>10890</v>
      </c>
      <c r="I4" s="8">
        <f t="shared" si="0"/>
        <v>10890</v>
      </c>
    </row>
    <row r="5" spans="1:9">
      <c r="A5" s="52"/>
      <c r="B5" s="57"/>
      <c r="C5" s="54"/>
      <c r="D5" s="55"/>
      <c r="E5" s="56"/>
      <c r="F5" s="56"/>
      <c r="G5" s="6" t="s">
        <v>125</v>
      </c>
      <c r="H5" s="7">
        <v>21000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5805.5174905716467</v>
      </c>
      <c r="B20" s="19">
        <f>COUNT(H3:H17)</f>
        <v>3</v>
      </c>
      <c r="C20" s="20">
        <f>IF(B20&lt;2,"N/A",(A20/D20))</f>
        <v>0.4060748055716224</v>
      </c>
      <c r="D20" s="21">
        <f>ROUND(AVERAGE(H3:H17),2)</f>
        <v>14296.67</v>
      </c>
      <c r="E20" s="22">
        <f>IFERROR(ROUND(IF(B20&lt;2,"N/A",(IF(C20&lt;=25%,"N/A",AVERAGE(I3:I17)))),2),"N/A")</f>
        <v>10945</v>
      </c>
      <c r="F20" s="22">
        <f>ROUND(MEDIAN(H3:H17),2)</f>
        <v>11000</v>
      </c>
      <c r="G20" s="23" t="str">
        <f>INDEX(G3:G17,MATCH(H20,H3:H17,0))</f>
        <v>STAR RUM INFORMATICA EIRELI</v>
      </c>
      <c r="H20" s="24">
        <f>MIN(H3:H17)</f>
        <v>10890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10945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1017885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3" sqref="D3:D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79</v>
      </c>
      <c r="C3" s="54" t="s">
        <v>28</v>
      </c>
      <c r="D3" s="55">
        <f>2000-Item10!D3</f>
        <v>1597</v>
      </c>
      <c r="E3" s="56">
        <f>IF(C20&lt;=25%,D20,MIN(E20:F20))</f>
        <v>198.5</v>
      </c>
      <c r="F3" s="56">
        <f>MIN(H3:H17)</f>
        <v>190.90909090909091</v>
      </c>
      <c r="G3" s="6" t="s">
        <v>88</v>
      </c>
      <c r="H3" s="7">
        <f>21000/110</f>
        <v>190.90909090909091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f>21068.9/110</f>
        <v>191.53545454545457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90</v>
      </c>
      <c r="H5" s="7">
        <f>21069/110</f>
        <v>191.53636363636363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91</v>
      </c>
      <c r="H6" s="7">
        <f>24200/110</f>
        <v>220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14.339559901476893</v>
      </c>
      <c r="B20" s="19">
        <f>COUNT(H3:H17)</f>
        <v>4</v>
      </c>
      <c r="C20" s="20">
        <f>IF(B20&lt;2,"N/A",(A20/D20))</f>
        <v>7.2239596480991902E-2</v>
      </c>
      <c r="D20" s="21">
        <f>ROUND(AVERAGE(H3:H17),2)</f>
        <v>198.5</v>
      </c>
      <c r="E20" s="22" t="str">
        <f>IFERROR(ROUND(IF(B20&lt;2,"N/A",(IF(C20&lt;=25%,"N/A",AVERAGE(I3:I17)))),2),"N/A")</f>
        <v>N/A</v>
      </c>
      <c r="F20" s="22">
        <f>ROUND(MEDIAN(H3:H17),2)</f>
        <v>191.54</v>
      </c>
      <c r="G20" s="23" t="str">
        <f>INDEX(G3:G17,MATCH(H20,H3:H17,0))</f>
        <v>SATURNO SOFTWARE E SISTEMAS LTDA</v>
      </c>
      <c r="H20" s="24">
        <f>MIN(H3:H17)</f>
        <v>190.90909090909091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198.5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317004.5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J2" sqref="J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74</v>
      </c>
      <c r="C3" s="54" t="s">
        <v>28</v>
      </c>
      <c r="D3" s="55">
        <v>3</v>
      </c>
      <c r="E3" s="56">
        <f>IF(C20&lt;=25%,D20,MIN(E20:F20))</f>
        <v>150988.75</v>
      </c>
      <c r="F3" s="56">
        <f>MIN(H3:H17)</f>
        <v>138309.32999999999</v>
      </c>
      <c r="G3" s="6" t="s">
        <v>84</v>
      </c>
      <c r="H3" s="7">
        <v>138309.32999999999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85</v>
      </c>
      <c r="H4" s="7">
        <v>138656.91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87</v>
      </c>
      <c r="H5" s="7">
        <v>176000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21661.077949682793</v>
      </c>
      <c r="B20" s="19">
        <f>COUNT(H3:H17)</f>
        <v>3</v>
      </c>
      <c r="C20" s="20">
        <f>IF(B20&lt;2,"N/A",(A20/D20))</f>
        <v>0.14346153570834114</v>
      </c>
      <c r="D20" s="21">
        <f>ROUND(AVERAGE(H3:H17),2)</f>
        <v>150988.75</v>
      </c>
      <c r="E20" s="22" t="str">
        <f>IFERROR(ROUND(IF(B20&lt;2,"N/A",(IF(C20&lt;=25%,"N/A",AVERAGE(I3:I17)))),2),"N/A")</f>
        <v>N/A</v>
      </c>
      <c r="F20" s="22">
        <f>ROUND(MEDIAN(H3:H17),2)</f>
        <v>138656.91</v>
      </c>
      <c r="G20" s="23" t="str">
        <f>INDEX(G3:G17,MATCH(H20,H3:H17,0))</f>
        <v>SCJ SEGURANÇA</v>
      </c>
      <c r="H20" s="24">
        <f>MIN(H3:H17)</f>
        <v>138309.32999999999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150988.75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452966.25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4" sqref="G1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75</v>
      </c>
      <c r="C3" s="54" t="s">
        <v>28</v>
      </c>
      <c r="D3" s="55">
        <v>3</v>
      </c>
      <c r="E3" s="56">
        <f>IF(C20&lt;=25%,D20,MIN(E20:F20))</f>
        <v>160000</v>
      </c>
      <c r="F3" s="56">
        <f>MIN(H3:H17)</f>
        <v>103800</v>
      </c>
      <c r="G3" s="6" t="s">
        <v>93</v>
      </c>
      <c r="H3" s="7">
        <v>211554</v>
      </c>
      <c r="I3" s="8">
        <f t="shared" ref="I3:I17" si="0">IF(H3="","",(IF($C$20&lt;25%,"N/A",IF(H3&lt;=($D$20+$A$20),H3,"Descartado"))))</f>
        <v>211554</v>
      </c>
    </row>
    <row r="4" spans="1:9">
      <c r="A4" s="52"/>
      <c r="B4" s="57"/>
      <c r="C4" s="54"/>
      <c r="D4" s="55"/>
      <c r="E4" s="56"/>
      <c r="F4" s="56"/>
      <c r="G4" s="6" t="s">
        <v>94</v>
      </c>
      <c r="H4" s="7">
        <v>299999</v>
      </c>
      <c r="I4" s="8" t="str">
        <f t="shared" si="0"/>
        <v>Descartado</v>
      </c>
    </row>
    <row r="5" spans="1:9">
      <c r="A5" s="52"/>
      <c r="B5" s="57"/>
      <c r="C5" s="54"/>
      <c r="D5" s="55"/>
      <c r="E5" s="56"/>
      <c r="F5" s="56"/>
      <c r="G5" s="6" t="s">
        <v>95</v>
      </c>
      <c r="H5" s="7">
        <v>145000</v>
      </c>
      <c r="I5" s="8">
        <f t="shared" si="0"/>
        <v>145000</v>
      </c>
    </row>
    <row r="6" spans="1:9">
      <c r="A6" s="52"/>
      <c r="B6" s="57"/>
      <c r="C6" s="54"/>
      <c r="D6" s="55"/>
      <c r="E6" s="56"/>
      <c r="F6" s="56"/>
      <c r="G6" s="6" t="s">
        <v>96</v>
      </c>
      <c r="H6" s="7">
        <v>103800</v>
      </c>
      <c r="I6" s="8">
        <f t="shared" si="0"/>
        <v>103800</v>
      </c>
    </row>
    <row r="7" spans="1:9">
      <c r="A7" s="52"/>
      <c r="B7" s="57"/>
      <c r="C7" s="54"/>
      <c r="D7" s="55"/>
      <c r="E7" s="56"/>
      <c r="F7" s="56"/>
      <c r="G7" s="6" t="s">
        <v>97</v>
      </c>
      <c r="H7" s="7">
        <v>122350.49</v>
      </c>
      <c r="I7" s="8">
        <f t="shared" si="0"/>
        <v>122350.49</v>
      </c>
    </row>
    <row r="8" spans="1:9">
      <c r="A8" s="52"/>
      <c r="B8" s="57"/>
      <c r="C8" s="54"/>
      <c r="D8" s="55"/>
      <c r="E8" s="56"/>
      <c r="F8" s="56"/>
      <c r="G8" s="6" t="s">
        <v>98</v>
      </c>
      <c r="H8" s="7">
        <v>109000</v>
      </c>
      <c r="I8" s="8">
        <f t="shared" si="0"/>
        <v>109000</v>
      </c>
    </row>
    <row r="9" spans="1:9">
      <c r="A9" s="52"/>
      <c r="B9" s="57"/>
      <c r="C9" s="54"/>
      <c r="D9" s="55"/>
      <c r="E9" s="56"/>
      <c r="F9" s="56"/>
      <c r="G9" s="6" t="s">
        <v>99</v>
      </c>
      <c r="H9" s="7">
        <v>250000</v>
      </c>
      <c r="I9" s="8">
        <f t="shared" si="0"/>
        <v>250000</v>
      </c>
    </row>
    <row r="10" spans="1:9">
      <c r="A10" s="52"/>
      <c r="B10" s="57"/>
      <c r="C10" s="54"/>
      <c r="D10" s="55"/>
      <c r="E10" s="56"/>
      <c r="F10" s="56"/>
      <c r="G10" s="6" t="s">
        <v>100</v>
      </c>
      <c r="H10" s="7">
        <v>160000</v>
      </c>
      <c r="I10" s="8">
        <f t="shared" si="0"/>
        <v>160000</v>
      </c>
    </row>
    <row r="11" spans="1:9">
      <c r="A11" s="52"/>
      <c r="B11" s="57"/>
      <c r="C11" s="54"/>
      <c r="D11" s="55"/>
      <c r="E11" s="56"/>
      <c r="F11" s="56"/>
      <c r="G11" s="6" t="s">
        <v>101</v>
      </c>
      <c r="H11" s="7">
        <v>130930</v>
      </c>
      <c r="I11" s="8">
        <f t="shared" si="0"/>
        <v>130930</v>
      </c>
    </row>
    <row r="12" spans="1:9">
      <c r="A12" s="52"/>
      <c r="B12" s="57"/>
      <c r="C12" s="54"/>
      <c r="D12" s="55"/>
      <c r="E12" s="56"/>
      <c r="F12" s="56"/>
      <c r="G12" s="6" t="s">
        <v>102</v>
      </c>
      <c r="H12" s="7">
        <v>330000</v>
      </c>
      <c r="I12" s="8" t="str">
        <f t="shared" si="0"/>
        <v>Descartado</v>
      </c>
    </row>
    <row r="13" spans="1:9">
      <c r="A13" s="52"/>
      <c r="B13" s="57"/>
      <c r="C13" s="54"/>
      <c r="D13" s="55"/>
      <c r="E13" s="56"/>
      <c r="F13" s="56"/>
      <c r="G13" s="6" t="s">
        <v>87</v>
      </c>
      <c r="H13" s="7">
        <v>216000</v>
      </c>
      <c r="I13" s="8">
        <f t="shared" si="0"/>
        <v>216000</v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78365.024589072957</v>
      </c>
      <c r="B20" s="19">
        <f>COUNT(H3:H17)</f>
        <v>11</v>
      </c>
      <c r="C20" s="20">
        <f>IF(B20&lt;2,"N/A",(A20/D20))</f>
        <v>0.41470287031064396</v>
      </c>
      <c r="D20" s="21">
        <f>ROUND(AVERAGE(H3:H17),2)</f>
        <v>188966.68</v>
      </c>
      <c r="E20" s="22">
        <f>IFERROR(ROUND(IF(B20&lt;2,"N/A",(IF(C20&lt;=25%,"N/A",AVERAGE(I3:I17)))),2),"N/A")</f>
        <v>160959.39000000001</v>
      </c>
      <c r="F20" s="22">
        <f>ROUND(MEDIAN(H3:H17),2)</f>
        <v>160000</v>
      </c>
      <c r="G20" s="23" t="str">
        <f>INDEX(G3:G17,MATCH(H20,H3:H17,0))</f>
        <v>O2 SOLUCOES EM TECNOLOGIA DIGITAL LTDA</v>
      </c>
      <c r="H20" s="24">
        <f>MIN(H3:H17)</f>
        <v>103800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160000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480000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2" sqref="A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2"/>
  <sheetViews>
    <sheetView tabSelected="1" view="pageBreakPreview" zoomScaleNormal="100" workbookViewId="0">
      <selection activeCell="D20" sqref="D20"/>
    </sheetView>
  </sheetViews>
  <sheetFormatPr defaultColWidth="9.140625" defaultRowHeight="12.75"/>
  <cols>
    <col min="1" max="1" width="9.140625" style="34"/>
    <col min="2" max="2" width="86.85546875" style="34" customWidth="1"/>
    <col min="3" max="3" width="14.7109375" style="34" bestFit="1" customWidth="1"/>
    <col min="4" max="4" width="13.28515625" style="34" customWidth="1"/>
    <col min="5" max="5" width="14.7109375" style="34" bestFit="1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36"/>
      <c r="B1" s="36"/>
      <c r="C1" s="36"/>
      <c r="D1" s="36"/>
      <c r="E1" s="36"/>
      <c r="F1" s="36"/>
    </row>
    <row r="2" spans="1:7" ht="12.75" customHeight="1">
      <c r="A2" s="36"/>
      <c r="B2" s="36"/>
      <c r="C2" s="36"/>
      <c r="D2" s="36"/>
      <c r="E2" s="36"/>
      <c r="F2" s="36"/>
    </row>
    <row r="3" spans="1:7" ht="12.75" customHeight="1">
      <c r="A3" s="36"/>
      <c r="B3" s="36"/>
      <c r="C3" s="36"/>
      <c r="D3" s="36"/>
      <c r="E3" s="36"/>
      <c r="F3" s="36"/>
    </row>
    <row r="4" spans="1:7" ht="12.75" customHeight="1">
      <c r="A4" s="36"/>
      <c r="B4" s="36"/>
      <c r="C4" s="36"/>
      <c r="D4" s="36"/>
      <c r="E4" s="36"/>
      <c r="F4" s="36"/>
    </row>
    <row r="5" spans="1:7" ht="12.75" customHeight="1">
      <c r="A5" s="58"/>
      <c r="B5" s="58"/>
      <c r="C5" s="58"/>
      <c r="D5" s="58"/>
      <c r="E5" s="58"/>
      <c r="F5" s="58"/>
    </row>
    <row r="6" spans="1:7" ht="12.75" customHeight="1">
      <c r="A6" s="58"/>
      <c r="B6" s="58"/>
      <c r="C6" s="58"/>
      <c r="D6" s="58"/>
      <c r="E6" s="58"/>
      <c r="F6" s="58"/>
    </row>
    <row r="7" spans="1:7" ht="12.75" customHeight="1">
      <c r="A7" s="37"/>
      <c r="B7" s="37"/>
      <c r="C7" s="37"/>
      <c r="D7" s="37"/>
      <c r="E7" s="37"/>
      <c r="F7" s="37"/>
    </row>
    <row r="8" spans="1:7" ht="15.75" customHeight="1">
      <c r="A8" s="59" t="s">
        <v>65</v>
      </c>
      <c r="B8" s="59"/>
      <c r="C8" s="59"/>
      <c r="D8" s="59"/>
      <c r="E8" s="59"/>
      <c r="F8" s="59"/>
    </row>
    <row r="9" spans="1:7" ht="25.5">
      <c r="A9" s="39" t="s">
        <v>66</v>
      </c>
      <c r="B9" s="39" t="s">
        <v>67</v>
      </c>
      <c r="C9" s="39" t="s">
        <v>68</v>
      </c>
      <c r="D9" s="39" t="s">
        <v>69</v>
      </c>
      <c r="E9" s="39" t="s">
        <v>70</v>
      </c>
      <c r="F9" s="39" t="s">
        <v>71</v>
      </c>
    </row>
    <row r="10" spans="1:7">
      <c r="A10" s="40">
        <v>1</v>
      </c>
      <c r="B10" s="41" t="str">
        <f>Item1!B3</f>
        <v>Nó de Hiperconvergência HPE Simplivity Extra Large</v>
      </c>
      <c r="C10" s="40" t="str">
        <f>Item1!C3</f>
        <v>unidade</v>
      </c>
      <c r="D10" s="40">
        <f>Item1!D3</f>
        <v>5</v>
      </c>
      <c r="E10" s="42">
        <f>IFERROR(Item1!E3,"sem propostas")</f>
        <v>560000</v>
      </c>
      <c r="F10" s="42">
        <f>IFERROR((ROUND(E10,2)*D10),"sem propostas")</f>
        <v>2800000</v>
      </c>
      <c r="G10" s="43"/>
    </row>
    <row r="11" spans="1:7">
      <c r="A11" s="40">
        <v>2</v>
      </c>
      <c r="B11" s="41" t="str">
        <f>Item2!B3</f>
        <v>Servidor de Rede</v>
      </c>
      <c r="C11" s="40" t="str">
        <f>Item2!C3</f>
        <v>unidade</v>
      </c>
      <c r="D11" s="40">
        <f>Item2!D3</f>
        <v>3</v>
      </c>
      <c r="E11" s="42">
        <f>Item2!E3</f>
        <v>150988.75</v>
      </c>
      <c r="F11" s="42">
        <f t="shared" ref="F11:F21" si="0">IFERROR((ROUND(E11,2)*D11),"sem propostas")</f>
        <v>452966.25</v>
      </c>
    </row>
    <row r="12" spans="1:7">
      <c r="A12" s="40">
        <v>3</v>
      </c>
      <c r="B12" s="41" t="str">
        <f>Item3!B3</f>
        <v>Unidade de Armazenamento NAS</v>
      </c>
      <c r="C12" s="40" t="str">
        <f>Item3!C3</f>
        <v>unidade</v>
      </c>
      <c r="D12" s="40">
        <f>Item3!D3</f>
        <v>3</v>
      </c>
      <c r="E12" s="42">
        <f>Item3!E3</f>
        <v>160000</v>
      </c>
      <c r="F12" s="42">
        <f t="shared" si="0"/>
        <v>480000</v>
      </c>
    </row>
    <row r="13" spans="1:7">
      <c r="A13" s="40">
        <v>4</v>
      </c>
      <c r="B13" s="41" t="str">
        <f>Item4!B3</f>
        <v>VMWare Network Virtualization and Security Platform Advanced Edition (VMware NSX)</v>
      </c>
      <c r="C13" s="40" t="str">
        <f>Item4!C3</f>
        <v>unidade</v>
      </c>
      <c r="D13" s="40">
        <f>Item4!D3</f>
        <v>20</v>
      </c>
      <c r="E13" s="42">
        <f>Item4!E3</f>
        <v>57773.37</v>
      </c>
      <c r="F13" s="42">
        <f t="shared" si="0"/>
        <v>1155467.4000000001</v>
      </c>
    </row>
    <row r="14" spans="1:7">
      <c r="A14" s="40">
        <v>5</v>
      </c>
      <c r="B14" s="41" t="str">
        <f>Item5!B3</f>
        <v>Appliance Virtual de Balanceamento de Carga com Firewall de Aplicações</v>
      </c>
      <c r="C14" s="40" t="str">
        <f>Item5!C3</f>
        <v>unidade</v>
      </c>
      <c r="D14" s="40">
        <f>Item5!D3</f>
        <v>2</v>
      </c>
      <c r="E14" s="42">
        <f>Item5!E3</f>
        <v>511184.48</v>
      </c>
      <c r="F14" s="42">
        <f t="shared" si="0"/>
        <v>1022368.96</v>
      </c>
    </row>
    <row r="15" spans="1:7">
      <c r="A15" s="40">
        <v>6</v>
      </c>
      <c r="B15" s="41" t="str">
        <f>Item6!B3</f>
        <v>Programa de Prospecção de Vulnerabilidades em Computadores</v>
      </c>
      <c r="C15" s="40" t="str">
        <f>Item6!C3</f>
        <v>unidade</v>
      </c>
      <c r="D15" s="40">
        <f>Item6!D3</f>
        <v>1</v>
      </c>
      <c r="E15" s="42">
        <f>Item6!E3</f>
        <v>268470.5</v>
      </c>
      <c r="F15" s="42">
        <f t="shared" si="0"/>
        <v>268470.5</v>
      </c>
    </row>
    <row r="16" spans="1:7">
      <c r="A16" s="40">
        <v>7</v>
      </c>
      <c r="B16" s="41" t="str">
        <f>Item7!B3</f>
        <v>Certificados Digitais A1 SSL</v>
      </c>
      <c r="C16" s="40" t="str">
        <f>Item7!C3</f>
        <v>unidade</v>
      </c>
      <c r="D16" s="40">
        <f>Item7!D3</f>
        <v>100</v>
      </c>
      <c r="E16" s="42">
        <f>Item7!E3</f>
        <v>436.73</v>
      </c>
      <c r="F16" s="42">
        <f t="shared" si="0"/>
        <v>43673</v>
      </c>
    </row>
    <row r="17" spans="1:6">
      <c r="A17" s="40">
        <v>8</v>
      </c>
      <c r="B17" s="41" t="str">
        <f>Item8!B3</f>
        <v>Assinatura de Suporte técnico e atualizações para Zimbra Network Edition</v>
      </c>
      <c r="C17" s="40" t="str">
        <f>Item8!C3</f>
        <v>unidade</v>
      </c>
      <c r="D17" s="40">
        <f>Item8!D3</f>
        <v>1</v>
      </c>
      <c r="E17" s="42">
        <f>Item8!E3</f>
        <v>557994.15</v>
      </c>
      <c r="F17" s="42">
        <f t="shared" si="0"/>
        <v>557994.15</v>
      </c>
    </row>
    <row r="18" spans="1:6">
      <c r="A18" s="40">
        <v>9</v>
      </c>
      <c r="B18" s="41" t="str">
        <f>Item9!B3</f>
        <v>Licença de Windows Server Datacenter 2019</v>
      </c>
      <c r="C18" s="40" t="str">
        <f>Item9!C3</f>
        <v>unidade</v>
      </c>
      <c r="D18" s="40">
        <f>Item9!D3</f>
        <v>7</v>
      </c>
      <c r="E18" s="42">
        <f>Item9!E3</f>
        <v>10945</v>
      </c>
      <c r="F18" s="42">
        <f t="shared" si="0"/>
        <v>76615</v>
      </c>
    </row>
    <row r="19" spans="1:6">
      <c r="A19" s="40">
        <v>10</v>
      </c>
      <c r="B19" s="41" t="str">
        <f>Item10!B3</f>
        <v>Windows Server Datacenter 2019 CAL</v>
      </c>
      <c r="C19" s="40" t="str">
        <f>Item10!C3</f>
        <v>unidade</v>
      </c>
      <c r="D19" s="40">
        <f>Item10!D3</f>
        <v>403</v>
      </c>
      <c r="E19" s="42">
        <f>Item10!E3</f>
        <v>198.5</v>
      </c>
      <c r="F19" s="42">
        <f t="shared" si="0"/>
        <v>79995.5</v>
      </c>
    </row>
    <row r="20" spans="1:6">
      <c r="A20" s="40">
        <v>11</v>
      </c>
      <c r="B20" s="41" t="str">
        <f>Item11!B3</f>
        <v>Unidade de Cópia de Segurança Automatizada</v>
      </c>
      <c r="C20" s="40" t="str">
        <f>Item11!C3</f>
        <v>unidade</v>
      </c>
      <c r="D20" s="40">
        <f>Item11!D3</f>
        <v>2</v>
      </c>
      <c r="E20" s="42">
        <f>Item11!E3</f>
        <v>224000</v>
      </c>
      <c r="F20" s="42">
        <f t="shared" si="0"/>
        <v>448000</v>
      </c>
    </row>
    <row r="21" spans="1:6">
      <c r="A21" s="40">
        <v>12</v>
      </c>
      <c r="B21" s="41" t="str">
        <f>Item12!B3</f>
        <v>Licença de Windows Server Datacenter 2019</v>
      </c>
      <c r="C21" s="40" t="str">
        <f>Item12!C3</f>
        <v>unidade</v>
      </c>
      <c r="D21" s="40">
        <f>Item12!D3</f>
        <v>93</v>
      </c>
      <c r="E21" s="42">
        <f>Item12!E3</f>
        <v>10945</v>
      </c>
      <c r="F21" s="42">
        <f t="shared" si="0"/>
        <v>1017885</v>
      </c>
    </row>
    <row r="22" spans="1:6">
      <c r="A22" s="40">
        <v>13</v>
      </c>
      <c r="B22" s="41" t="str">
        <f>Item13!B3</f>
        <v>Windows Server Datacenter 2019 CAL</v>
      </c>
      <c r="C22" s="40" t="str">
        <f>Item13!C3</f>
        <v>unidade</v>
      </c>
      <c r="D22" s="40">
        <f>Item13!D3</f>
        <v>1597</v>
      </c>
      <c r="E22" s="42">
        <f>Item13!E3</f>
        <v>198.5</v>
      </c>
      <c r="F22" s="42">
        <f t="shared" ref="F22" si="1">IFERROR((ROUND(E22,2)*D22),"sem propostas")</f>
        <v>317004.5</v>
      </c>
    </row>
    <row r="23" spans="1:6" ht="15.75" customHeight="1">
      <c r="A23" s="44"/>
      <c r="B23" s="44"/>
      <c r="C23" s="59" t="s">
        <v>72</v>
      </c>
      <c r="D23" s="59"/>
      <c r="E23" s="59"/>
      <c r="F23" s="45">
        <f>SUM(F10:F22)</f>
        <v>8720440.2600000016</v>
      </c>
    </row>
    <row r="62" spans="1:6" ht="15.75" customHeight="1">
      <c r="A62" s="44"/>
      <c r="B62" s="44"/>
      <c r="C62" s="38"/>
      <c r="D62" s="38"/>
      <c r="E62" s="38"/>
      <c r="F62" s="46"/>
    </row>
  </sheetData>
  <mergeCells count="4">
    <mergeCell ref="A5:F5"/>
    <mergeCell ref="A6:F6"/>
    <mergeCell ref="A8:F8"/>
    <mergeCell ref="C23:E23"/>
  </mergeCells>
  <pageMargins left="0.51181102362204722" right="0.51181102362204722" top="0.78740157480314965" bottom="0.94488188976377963" header="0.51181102362204722" footer="0.78740157480314965"/>
  <pageSetup paperSize="9" scale="90" firstPageNumber="0" fitToHeight="0" orientation="landscape" horizontalDpi="300" verticalDpi="300" r:id="rId1"/>
  <headerFooter>
    <oddFooter>&amp;L&amp;"Times New Roman,Normal"&amp;12Estimativa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77</v>
      </c>
      <c r="C3" s="54" t="s">
        <v>28</v>
      </c>
      <c r="D3" s="55">
        <v>20</v>
      </c>
      <c r="E3" s="56">
        <f>IF(C20&lt;=25%,D20,MIN(E20:F20))</f>
        <v>57773.37</v>
      </c>
      <c r="F3" s="56">
        <f>MIN(H3:H17)</f>
        <v>47974.229999999996</v>
      </c>
      <c r="G3" s="6" t="s">
        <v>103</v>
      </c>
      <c r="H3" s="7">
        <f>(3699837/162)+(5*1214076.6/162)</f>
        <v>60310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104</v>
      </c>
      <c r="H4" s="7">
        <f>(3601207/162)+(5*939393/162)</f>
        <v>51223.283950617282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105</v>
      </c>
      <c r="H5" s="7">
        <f>(4860000/162)+(5*1620000/162)</f>
        <v>80000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106</v>
      </c>
      <c r="H6" s="7">
        <f>(3699000/162)+(5*1000000/162)</f>
        <v>53697.530864197528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 t="s">
        <v>107</v>
      </c>
      <c r="H7" s="7">
        <f>(4200000/162)+(5*1000000/162)</f>
        <v>56790.123456790127</v>
      </c>
      <c r="I7" s="8" t="str">
        <f t="shared" si="0"/>
        <v>N/A</v>
      </c>
    </row>
    <row r="8" spans="1:9">
      <c r="A8" s="52"/>
      <c r="B8" s="57"/>
      <c r="C8" s="54"/>
      <c r="D8" s="55"/>
      <c r="E8" s="56"/>
      <c r="F8" s="56"/>
      <c r="G8" s="6" t="s">
        <v>108</v>
      </c>
      <c r="H8" s="7">
        <f>(3699843.48/162)+(5*1121997.42/162)</f>
        <v>57468.09</v>
      </c>
      <c r="I8" s="8" t="str">
        <f t="shared" si="0"/>
        <v>N/A</v>
      </c>
    </row>
    <row r="9" spans="1:9">
      <c r="A9" s="52"/>
      <c r="B9" s="57"/>
      <c r="C9" s="54"/>
      <c r="D9" s="55"/>
      <c r="E9" s="56"/>
      <c r="F9" s="56"/>
      <c r="G9" s="6" t="s">
        <v>109</v>
      </c>
      <c r="H9" s="7">
        <f>(3532665.96/162)+(5*847831.86/162)</f>
        <v>47974.229999999996</v>
      </c>
      <c r="I9" s="8" t="str">
        <f t="shared" si="0"/>
        <v>N/A</v>
      </c>
    </row>
    <row r="10" spans="1:9">
      <c r="A10" s="52"/>
      <c r="B10" s="57"/>
      <c r="C10" s="54"/>
      <c r="D10" s="55"/>
      <c r="E10" s="56"/>
      <c r="F10" s="56"/>
      <c r="G10" s="6" t="s">
        <v>110</v>
      </c>
      <c r="H10" s="7">
        <f>(3699845.1/162)+(5*929259.85/162)</f>
        <v>51519.409567901239</v>
      </c>
      <c r="I10" s="8" t="str">
        <f t="shared" si="0"/>
        <v>N/A</v>
      </c>
    </row>
    <row r="11" spans="1:9">
      <c r="A11" s="52"/>
      <c r="B11" s="57"/>
      <c r="C11" s="54"/>
      <c r="D11" s="55"/>
      <c r="E11" s="56"/>
      <c r="F11" s="56"/>
      <c r="G11" s="6" t="s">
        <v>111</v>
      </c>
      <c r="H11" s="7">
        <f>(4665600/162)+(5*1119420/162)</f>
        <v>63350</v>
      </c>
      <c r="I11" s="8" t="str">
        <f t="shared" si="0"/>
        <v>N/A</v>
      </c>
    </row>
    <row r="12" spans="1:9">
      <c r="A12" s="52"/>
      <c r="B12" s="57"/>
      <c r="C12" s="54"/>
      <c r="D12" s="55"/>
      <c r="E12" s="56"/>
      <c r="F12" s="56"/>
      <c r="G12" s="6" t="s">
        <v>112</v>
      </c>
      <c r="H12" s="7">
        <f>(3699845.1/162)+(5*1129482.9/162)</f>
        <v>57699.133333333331</v>
      </c>
      <c r="I12" s="8" t="str">
        <f t="shared" si="0"/>
        <v>N/A</v>
      </c>
    </row>
    <row r="13" spans="1:9">
      <c r="A13" s="52"/>
      <c r="B13" s="57"/>
      <c r="C13" s="54"/>
      <c r="D13" s="55"/>
      <c r="E13" s="56"/>
      <c r="F13" s="56"/>
      <c r="G13" s="6" t="s">
        <v>113</v>
      </c>
      <c r="H13" s="7">
        <f>(3737000/162)+(5*1050000/162)</f>
        <v>55475.308641975309</v>
      </c>
      <c r="I13" s="8" t="str">
        <f t="shared" si="0"/>
        <v>N/A</v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8558.9380155644303</v>
      </c>
      <c r="B20" s="19">
        <f>COUNT(H3:H17)</f>
        <v>11</v>
      </c>
      <c r="C20" s="20">
        <f>IF(B20&lt;2,"N/A",(A20/D20))</f>
        <v>0.14814676754297751</v>
      </c>
      <c r="D20" s="21">
        <f>ROUND(AVERAGE(H3:H17),2)</f>
        <v>57773.37</v>
      </c>
      <c r="E20" s="22" t="str">
        <f>IFERROR(ROUND(IF(B20&lt;2,"N/A",(IF(C20&lt;=25%,"N/A",AVERAGE(I3:I17)))),2),"N/A")</f>
        <v>N/A</v>
      </c>
      <c r="F20" s="22">
        <f>ROUND(MEDIAN(H3:H17),2)</f>
        <v>56790.12</v>
      </c>
      <c r="G20" s="23" t="str">
        <f>INDEX(G3:G17,MATCH(H20,H3:H17,0))</f>
        <v>03.263.975/0001-09 SYSTECH SISTEMAS E TECNOLOGIA EM INFORMATICA LTDA</v>
      </c>
      <c r="H20" s="24">
        <f>MIN(H3:H17)</f>
        <v>47974.229999999996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57773.37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1155467.4000000001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80</v>
      </c>
      <c r="C3" s="54" t="s">
        <v>28</v>
      </c>
      <c r="D3" s="55">
        <v>2</v>
      </c>
      <c r="E3" s="56">
        <f>IF(C20&lt;=25%,D20,MIN(E20:F20))</f>
        <v>511184.48</v>
      </c>
      <c r="F3" s="56">
        <f>MIN(H3:H17)</f>
        <v>511184.48</v>
      </c>
      <c r="G3" s="6" t="s">
        <v>92</v>
      </c>
      <c r="H3" s="7">
        <f>162306.22+59678.09+289200.17</f>
        <v>511184.48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7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7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511184.48</v>
      </c>
      <c r="E20" s="22" t="str">
        <f>IFERROR(ROUND(IF(B20&lt;2,"N/A",(IF(C20&lt;=25%,"N/A",AVERAGE(I3:I17)))),2),"N/A")</f>
        <v>N/A</v>
      </c>
      <c r="F20" s="22">
        <f>ROUND(MEDIAN(H3:H17),2)</f>
        <v>511184.48</v>
      </c>
      <c r="G20" s="23" t="str">
        <f>INDEX(G3:G17,MATCH(H20,H3:H17,0))</f>
        <v>LOGICALIS</v>
      </c>
      <c r="H20" s="24">
        <f>MIN(H3:H17)</f>
        <v>511184.48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511184.48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1022368.96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81</v>
      </c>
      <c r="C3" s="54" t="s">
        <v>28</v>
      </c>
      <c r="D3" s="55">
        <v>1</v>
      </c>
      <c r="E3" s="56">
        <f>IF(C20&lt;=25%,D20,MIN(E20:F20))</f>
        <v>268470.5</v>
      </c>
      <c r="F3" s="56">
        <f>MIN(H3:H17)</f>
        <v>261562.5</v>
      </c>
      <c r="G3" s="6" t="s">
        <v>114</v>
      </c>
      <c r="H3" s="7">
        <f>536941/2</f>
        <v>268470.5</v>
      </c>
      <c r="I3" s="8">
        <f t="shared" ref="I3:I17" si="0">IF(H3="","",(IF($C$20&lt;25%,"N/A",IF(H3&lt;=($D$20+$A$20),H3,"Descartado"))))</f>
        <v>268470.5</v>
      </c>
    </row>
    <row r="4" spans="1:9">
      <c r="A4" s="52"/>
      <c r="B4" s="57"/>
      <c r="C4" s="54"/>
      <c r="D4" s="55"/>
      <c r="E4" s="56"/>
      <c r="F4" s="56"/>
      <c r="G4" s="6" t="s">
        <v>115</v>
      </c>
      <c r="H4" s="7">
        <f>580460/2</f>
        <v>290230</v>
      </c>
      <c r="I4" s="8">
        <f t="shared" si="0"/>
        <v>290230</v>
      </c>
    </row>
    <row r="5" spans="1:9">
      <c r="A5" s="52"/>
      <c r="B5" s="57"/>
      <c r="C5" s="54"/>
      <c r="D5" s="55"/>
      <c r="E5" s="56"/>
      <c r="F5" s="56"/>
      <c r="G5" s="6" t="s">
        <v>116</v>
      </c>
      <c r="H5" s="7">
        <f>524485.73/2</f>
        <v>262242.86499999999</v>
      </c>
      <c r="I5" s="8">
        <f t="shared" si="0"/>
        <v>262242.86499999999</v>
      </c>
    </row>
    <row r="6" spans="1:9">
      <c r="A6" s="52"/>
      <c r="B6" s="57"/>
      <c r="C6" s="54"/>
      <c r="D6" s="55"/>
      <c r="E6" s="56"/>
      <c r="F6" s="56"/>
      <c r="G6" s="6" t="s">
        <v>117</v>
      </c>
      <c r="H6" s="7">
        <f>986530/2</f>
        <v>493265</v>
      </c>
      <c r="I6" s="8" t="str">
        <f t="shared" si="0"/>
        <v>Descartado</v>
      </c>
    </row>
    <row r="7" spans="1:9">
      <c r="A7" s="52"/>
      <c r="B7" s="57"/>
      <c r="C7" s="54"/>
      <c r="D7" s="55"/>
      <c r="E7" s="56"/>
      <c r="F7" s="56"/>
      <c r="G7" s="6" t="s">
        <v>118</v>
      </c>
      <c r="H7" s="7">
        <f>523125/2</f>
        <v>261562.5</v>
      </c>
      <c r="I7" s="8">
        <f t="shared" si="0"/>
        <v>261562.5</v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100244.35189617738</v>
      </c>
      <c r="B20" s="19">
        <f>COUNT(H3:H17)</f>
        <v>5</v>
      </c>
      <c r="C20" s="20">
        <f>IF(B20&lt;2,"N/A",(A20/D20))</f>
        <v>0.31808036014937507</v>
      </c>
      <c r="D20" s="21">
        <f>ROUND(AVERAGE(H3:H17),2)</f>
        <v>315154.17</v>
      </c>
      <c r="E20" s="22">
        <f>IFERROR(ROUND(IF(B20&lt;2,"N/A",(IF(C20&lt;=25%,"N/A",AVERAGE(I3:I17)))),2),"N/A")</f>
        <v>270626.46999999997</v>
      </c>
      <c r="F20" s="22">
        <f>ROUND(MEDIAN(H3:H17),2)</f>
        <v>268470.5</v>
      </c>
      <c r="G20" s="23" t="str">
        <f>INDEX(G3:G17,MATCH(H20,H3:H17,0))</f>
        <v>01.707.536/0001-04 ISH TECNOLOGIA S/A</v>
      </c>
      <c r="H20" s="24">
        <f>MIN(H3:H17)</f>
        <v>261562.5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268470.5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268470.5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82</v>
      </c>
      <c r="C3" s="54" t="s">
        <v>28</v>
      </c>
      <c r="D3" s="55">
        <v>100</v>
      </c>
      <c r="E3" s="56">
        <f>IF(C20&lt;=25%,D20,MIN(E20:F20))</f>
        <v>436.73</v>
      </c>
      <c r="F3" s="56">
        <f>MIN(H3:H17)</f>
        <v>399</v>
      </c>
      <c r="G3" s="6" t="s">
        <v>119</v>
      </c>
      <c r="H3" s="7">
        <v>399</v>
      </c>
      <c r="I3" s="8">
        <f t="shared" ref="I3:I17" si="0">IF(H3="","",(IF($C$20&lt;25%,"N/A",IF(H3&lt;=($D$20+$A$20),H3,"Descartado"))))</f>
        <v>399</v>
      </c>
    </row>
    <row r="4" spans="1:9">
      <c r="A4" s="52"/>
      <c r="B4" s="57"/>
      <c r="C4" s="54"/>
      <c r="D4" s="55"/>
      <c r="E4" s="56"/>
      <c r="F4" s="56"/>
      <c r="G4" s="6" t="s">
        <v>120</v>
      </c>
      <c r="H4" s="7">
        <v>431.2</v>
      </c>
      <c r="I4" s="8">
        <f t="shared" si="0"/>
        <v>431.2</v>
      </c>
    </row>
    <row r="5" spans="1:9">
      <c r="A5" s="52"/>
      <c r="B5" s="57"/>
      <c r="C5" s="54"/>
      <c r="D5" s="55"/>
      <c r="E5" s="56"/>
      <c r="F5" s="56"/>
      <c r="G5" s="6" t="s">
        <v>121</v>
      </c>
      <c r="H5" s="7">
        <v>784.5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 t="s">
        <v>122</v>
      </c>
      <c r="H6" s="7">
        <v>480</v>
      </c>
      <c r="I6" s="8">
        <f t="shared" si="0"/>
        <v>480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177.04299619019125</v>
      </c>
      <c r="B20" s="19">
        <f>COUNT(H3:H17)</f>
        <v>4</v>
      </c>
      <c r="C20" s="20">
        <f>IF(B20&lt;2,"N/A",(A20/D20))</f>
        <v>0.33807477121561119</v>
      </c>
      <c r="D20" s="21">
        <f>ROUND(AVERAGE(H3:H17),2)</f>
        <v>523.67999999999995</v>
      </c>
      <c r="E20" s="22">
        <f>IFERROR(ROUND(IF(B20&lt;2,"N/A",(IF(C20&lt;=25%,"N/A",AVERAGE(I3:I17)))),2),"N/A")</f>
        <v>436.73</v>
      </c>
      <c r="F20" s="22">
        <f>ROUND(MEDIAN(H3:H17),2)</f>
        <v>455.6</v>
      </c>
      <c r="G20" s="23" t="str">
        <f>INDEX(G3:G17,MATCH(H20,H3:H17,0))</f>
        <v>CERTISIGN</v>
      </c>
      <c r="H20" s="24">
        <f>MIN(H3:H17)</f>
        <v>399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436.73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43673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83</v>
      </c>
      <c r="C3" s="54" t="s">
        <v>28</v>
      </c>
      <c r="D3" s="55">
        <v>1</v>
      </c>
      <c r="E3" s="56">
        <f>IF(C20&lt;=25%,D20,MIN(E20:F20))</f>
        <v>557994.15</v>
      </c>
      <c r="F3" s="56">
        <f>MIN(H3:H17)</f>
        <v>481913.70967741939</v>
      </c>
      <c r="G3" s="6" t="s">
        <v>86</v>
      </c>
      <c r="H3" s="7">
        <v>695250</v>
      </c>
      <c r="I3" s="8">
        <f t="shared" ref="I3:I17" si="0">IF(H3="","",(IF($C$20&lt;25%,"N/A",IF(H3&lt;=($D$20+$A$20),H3,"Descartado"))))</f>
        <v>695250</v>
      </c>
    </row>
    <row r="4" spans="1:9">
      <c r="A4" s="52"/>
      <c r="B4" s="57"/>
      <c r="C4" s="54"/>
      <c r="D4" s="55"/>
      <c r="E4" s="56"/>
      <c r="F4" s="56"/>
      <c r="G4" s="6" t="s">
        <v>123</v>
      </c>
      <c r="H4" s="7">
        <f>199191*(2250/1550)*(5/3)</f>
        <v>481913.70967741939</v>
      </c>
      <c r="I4" s="8">
        <f t="shared" si="0"/>
        <v>481913.70967741939</v>
      </c>
    </row>
    <row r="5" spans="1:9">
      <c r="A5" s="52"/>
      <c r="B5" s="57"/>
      <c r="C5" s="54"/>
      <c r="D5" s="55"/>
      <c r="E5" s="56"/>
      <c r="F5" s="56"/>
      <c r="G5" s="6" t="s">
        <v>124</v>
      </c>
      <c r="H5" s="7">
        <f>205351.75*(2250/1550)*(5/3)</f>
        <v>496818.75</v>
      </c>
      <c r="I5" s="8">
        <f t="shared" si="0"/>
        <v>496818.75</v>
      </c>
    </row>
    <row r="6" spans="1:9">
      <c r="A6" s="52"/>
      <c r="B6" s="57"/>
      <c r="C6" s="54"/>
      <c r="D6" s="55"/>
      <c r="E6" s="56"/>
      <c r="F6" s="56"/>
      <c r="G6" s="6" t="s">
        <v>117</v>
      </c>
      <c r="H6" s="7">
        <f>450230*(2250/1550)*(5/3)</f>
        <v>1089266.1290322582</v>
      </c>
      <c r="I6" s="8" t="str">
        <f t="shared" si="0"/>
        <v>Descartado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282876.45450032811</v>
      </c>
      <c r="B20" s="19">
        <f>COUNT(H3:H17)</f>
        <v>4</v>
      </c>
      <c r="C20" s="20">
        <f>IF(B20&lt;2,"N/A",(A20/D20))</f>
        <v>0.40948390166607246</v>
      </c>
      <c r="D20" s="21">
        <f>ROUND(AVERAGE(H3:H17),2)</f>
        <v>690812.15</v>
      </c>
      <c r="E20" s="22">
        <f>IFERROR(ROUND(IF(B20&lt;2,"N/A",(IF(C20&lt;=25%,"N/A",AVERAGE(I3:I17)))),2),"N/A")</f>
        <v>557994.15</v>
      </c>
      <c r="F20" s="22">
        <f>ROUND(MEDIAN(H3:H17),2)</f>
        <v>596034.38</v>
      </c>
      <c r="G20" s="23" t="str">
        <f>INDEX(G3:G17,MATCH(H20,H3:H17,0))</f>
        <v>01.427.728/0001-67 INOVA TECNOLOGIAS DE INFORMACAO E REPRESENTACOES LTDA</v>
      </c>
      <c r="H20" s="24">
        <f>MIN(H3:H17)</f>
        <v>481913.70967741939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557994.15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557994.15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3" sqref="D3:D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78</v>
      </c>
      <c r="C3" s="54" t="s">
        <v>28</v>
      </c>
      <c r="D3" s="55">
        <v>7</v>
      </c>
      <c r="E3" s="56">
        <f>IF(C20&lt;=25%,D20,MIN(E20:F20))</f>
        <v>10945</v>
      </c>
      <c r="F3" s="56">
        <f>MIN(H3:H17)</f>
        <v>10890</v>
      </c>
      <c r="G3" s="6" t="s">
        <v>90</v>
      </c>
      <c r="H3" s="7">
        <v>11000</v>
      </c>
      <c r="I3" s="8">
        <f t="shared" ref="I3:I17" si="0">IF(H3="","",(IF($C$20&lt;25%,"N/A",IF(H3&lt;=($D$20+$A$20),H3,"Descartado"))))</f>
        <v>11000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v>10890</v>
      </c>
      <c r="I4" s="8">
        <f t="shared" si="0"/>
        <v>10890</v>
      </c>
    </row>
    <row r="5" spans="1:9">
      <c r="A5" s="52"/>
      <c r="B5" s="57"/>
      <c r="C5" s="54"/>
      <c r="D5" s="55"/>
      <c r="E5" s="56"/>
      <c r="F5" s="56"/>
      <c r="G5" s="6" t="s">
        <v>125</v>
      </c>
      <c r="H5" s="7">
        <v>21000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5805.5174905716467</v>
      </c>
      <c r="B20" s="19">
        <f>COUNT(H3:H17)</f>
        <v>3</v>
      </c>
      <c r="C20" s="20">
        <f>IF(B20&lt;2,"N/A",(A20/D20))</f>
        <v>0.4060748055716224</v>
      </c>
      <c r="D20" s="21">
        <f>ROUND(AVERAGE(H3:H17),2)</f>
        <v>14296.67</v>
      </c>
      <c r="E20" s="22">
        <f>IFERROR(ROUND(IF(B20&lt;2,"N/A",(IF(C20&lt;=25%,"N/A",AVERAGE(I3:I17)))),2),"N/A")</f>
        <v>10945</v>
      </c>
      <c r="F20" s="22">
        <f>ROUND(MEDIAN(H3:H17),2)</f>
        <v>11000</v>
      </c>
      <c r="G20" s="23" t="str">
        <f>INDEX(G3:G17,MATCH(H20,H3:H17,0))</f>
        <v>STAR RUM INFORMATICA EIRELI</v>
      </c>
      <c r="H20" s="24">
        <f>MIN(H3:H17)</f>
        <v>10890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10945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76615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37</vt:i4>
      </vt:variant>
      <vt:variant>
        <vt:lpstr>Intervalos nomeados</vt:lpstr>
      </vt:variant>
      <vt:variant>
        <vt:i4>3</vt:i4>
      </vt:variant>
    </vt:vector>
  </HeadingPairs>
  <TitlesOfParts>
    <vt:vector size="4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64</cp:revision>
  <cp:lastPrinted>2021-12-21T17:32:24Z</cp:lastPrinted>
  <dcterms:created xsi:type="dcterms:W3CDTF">2019-01-16T20:04:04Z</dcterms:created>
  <dcterms:modified xsi:type="dcterms:W3CDTF">2022-01-25T15:12:42Z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