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Milena Hereda\Desktop\PAD 13998-2019 RP Películas, Persianas e Vidros\2ª Minuta\"/>
    </mc:Choice>
  </mc:AlternateContent>
  <xr:revisionPtr revIDLastSave="0" documentId="8_{03B2BBCA-D898-49B8-B3D6-5358753FA511}" xr6:coauthVersionLast="45" xr6:coauthVersionMax="45" xr10:uidLastSave="{00000000-0000-0000-0000-000000000000}"/>
  <bookViews>
    <workbookView xWindow="-120" yWindow="-120" windowWidth="20730" windowHeight="11160" tabRatio="500" firstSheet="6" activeTab="13" xr2:uid="{00000000-000D-0000-FFFF-FFFF00000000}"/>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TOTAL" sheetId="14" r:id="rId14"/>
  </sheets>
  <definedNames>
    <definedName name="_xlnm.Print_Area" localSheetId="13">TOTAL!$A$1:$F$48</definedName>
  </definedNames>
  <calcPr calcId="181029" iterateDelta="1E-4"/>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47" i="14" l="1"/>
  <c r="E47" i="14"/>
  <c r="D47" i="14"/>
  <c r="C47" i="14"/>
  <c r="B47" i="14"/>
  <c r="B46" i="14"/>
  <c r="E45" i="14"/>
  <c r="D45" i="14"/>
  <c r="F45" i="14" s="1"/>
  <c r="C45" i="14"/>
  <c r="B45" i="14"/>
  <c r="B44" i="14"/>
  <c r="F43" i="14"/>
  <c r="E43" i="14"/>
  <c r="D43" i="14"/>
  <c r="C43" i="14"/>
  <c r="B43" i="14"/>
  <c r="B42" i="14"/>
  <c r="E41" i="14"/>
  <c r="D41" i="14"/>
  <c r="F41" i="14" s="1"/>
  <c r="C41" i="14"/>
  <c r="B41" i="14"/>
  <c r="B40" i="14"/>
  <c r="F39" i="14"/>
  <c r="E39" i="14"/>
  <c r="D39" i="14"/>
  <c r="C39" i="14"/>
  <c r="B39" i="14"/>
  <c r="B38" i="14"/>
  <c r="E37" i="14"/>
  <c r="D37" i="14"/>
  <c r="F37" i="14" s="1"/>
  <c r="C37" i="14"/>
  <c r="B37" i="14"/>
  <c r="B36" i="14"/>
  <c r="F35" i="14"/>
  <c r="E35" i="14"/>
  <c r="D35" i="14"/>
  <c r="C35" i="14"/>
  <c r="B35" i="14"/>
  <c r="B34" i="14"/>
  <c r="E33" i="14"/>
  <c r="D33" i="14"/>
  <c r="F33" i="14" s="1"/>
  <c r="C33" i="14"/>
  <c r="B33" i="14"/>
  <c r="B32" i="14"/>
  <c r="F31" i="14"/>
  <c r="E31" i="14"/>
  <c r="D31" i="14"/>
  <c r="C31" i="14"/>
  <c r="B31" i="14"/>
  <c r="B30" i="14"/>
  <c r="E29" i="14"/>
  <c r="D29" i="14"/>
  <c r="F29" i="14" s="1"/>
  <c r="C29" i="14"/>
  <c r="B29" i="14"/>
  <c r="B28" i="14"/>
  <c r="F27" i="14"/>
  <c r="E27" i="14"/>
  <c r="D27" i="14"/>
  <c r="C27" i="14"/>
  <c r="B27" i="14"/>
  <c r="B26" i="14"/>
  <c r="E25" i="14"/>
  <c r="D25" i="14"/>
  <c r="F25" i="14" s="1"/>
  <c r="C25" i="14"/>
  <c r="B25" i="14"/>
  <c r="B24" i="14"/>
  <c r="F23" i="14"/>
  <c r="E23" i="14"/>
  <c r="D23" i="14"/>
  <c r="C23" i="14"/>
  <c r="B23" i="14"/>
  <c r="B22" i="14"/>
  <c r="D15" i="14"/>
  <c r="C15" i="14"/>
  <c r="B15" i="14"/>
  <c r="D14" i="14"/>
  <c r="C14" i="14"/>
  <c r="B14" i="14"/>
  <c r="D13" i="14"/>
  <c r="C13" i="14"/>
  <c r="B13" i="14"/>
  <c r="D12" i="14"/>
  <c r="C12" i="14"/>
  <c r="B12" i="14"/>
  <c r="D11" i="14"/>
  <c r="C11" i="14"/>
  <c r="B11" i="14"/>
  <c r="D10" i="14"/>
  <c r="C10" i="14"/>
  <c r="B10" i="14"/>
  <c r="D9" i="14"/>
  <c r="C9" i="14"/>
  <c r="B9" i="14"/>
  <c r="D8" i="14"/>
  <c r="C8" i="14"/>
  <c r="B8" i="14"/>
  <c r="C7" i="14"/>
  <c r="B7" i="14"/>
  <c r="D6" i="14"/>
  <c r="C6" i="14"/>
  <c r="B6" i="14"/>
  <c r="D5" i="14"/>
  <c r="C5" i="14"/>
  <c r="B5" i="14"/>
  <c r="D4" i="14"/>
  <c r="C4" i="14"/>
  <c r="B4" i="14"/>
  <c r="C3" i="14"/>
  <c r="B3" i="14"/>
  <c r="H23" i="13"/>
  <c r="C20" i="13" s="1"/>
  <c r="F20" i="13"/>
  <c r="D20" i="13"/>
  <c r="B20" i="13"/>
  <c r="I17" i="13"/>
  <c r="I16" i="13"/>
  <c r="I15" i="13"/>
  <c r="I14" i="13"/>
  <c r="I13" i="13"/>
  <c r="I12" i="13"/>
  <c r="I11" i="13"/>
  <c r="I10" i="13"/>
  <c r="I9" i="13"/>
  <c r="I8" i="13"/>
  <c r="I7" i="13"/>
  <c r="H23" i="12"/>
  <c r="C20" i="12" s="1"/>
  <c r="F20" i="12"/>
  <c r="E20" i="12"/>
  <c r="D20" i="12"/>
  <c r="I17" i="12"/>
  <c r="I16" i="12"/>
  <c r="I15" i="12"/>
  <c r="I14" i="12"/>
  <c r="I13" i="12"/>
  <c r="I12" i="12"/>
  <c r="I11" i="12"/>
  <c r="I10" i="12"/>
  <c r="I9" i="12"/>
  <c r="I8" i="12"/>
  <c r="I7" i="12"/>
  <c r="I6" i="12"/>
  <c r="I5" i="12"/>
  <c r="I4" i="12"/>
  <c r="H23" i="11"/>
  <c r="F20" i="11"/>
  <c r="D20" i="11"/>
  <c r="B20" i="11"/>
  <c r="C20" i="11" s="1"/>
  <c r="I17" i="11"/>
  <c r="I16" i="11"/>
  <c r="I15" i="11"/>
  <c r="I14" i="11"/>
  <c r="I13" i="11"/>
  <c r="I12" i="11"/>
  <c r="I11" i="11"/>
  <c r="I10" i="11"/>
  <c r="I9" i="11"/>
  <c r="I8" i="11"/>
  <c r="I7" i="11"/>
  <c r="H23" i="10"/>
  <c r="F20" i="10"/>
  <c r="D20" i="10"/>
  <c r="I17" i="10"/>
  <c r="I16" i="10"/>
  <c r="I15" i="10"/>
  <c r="I14" i="10"/>
  <c r="I13" i="10"/>
  <c r="I12" i="10"/>
  <c r="I11" i="10"/>
  <c r="I10" i="10"/>
  <c r="I9" i="10"/>
  <c r="I8" i="10"/>
  <c r="I7" i="10"/>
  <c r="H23" i="9"/>
  <c r="C20" i="9" s="1"/>
  <c r="F20" i="9"/>
  <c r="D20" i="9"/>
  <c r="B20" i="9"/>
  <c r="I17" i="9"/>
  <c r="I16" i="9"/>
  <c r="I15" i="9"/>
  <c r="I14" i="9"/>
  <c r="I13" i="9"/>
  <c r="I12" i="9"/>
  <c r="I11" i="9"/>
  <c r="I10" i="9"/>
  <c r="I9" i="9"/>
  <c r="I8" i="9"/>
  <c r="I7" i="9"/>
  <c r="H23" i="8"/>
  <c r="B20" i="8" s="1"/>
  <c r="C20" i="8" s="1"/>
  <c r="F20" i="8"/>
  <c r="D20" i="8"/>
  <c r="I17" i="8"/>
  <c r="I16" i="8"/>
  <c r="I15" i="8"/>
  <c r="I14" i="8"/>
  <c r="I13" i="8"/>
  <c r="I12" i="8"/>
  <c r="I11" i="8"/>
  <c r="I10" i="8"/>
  <c r="I9" i="8"/>
  <c r="I8" i="8"/>
  <c r="I7" i="8"/>
  <c r="I6" i="8"/>
  <c r="H23" i="7"/>
  <c r="F20" i="7"/>
  <c r="D20" i="7"/>
  <c r="B20" i="7"/>
  <c r="C20" i="7" s="1"/>
  <c r="I17" i="7"/>
  <c r="I16" i="7"/>
  <c r="I15" i="7"/>
  <c r="I14" i="7"/>
  <c r="I13" i="7"/>
  <c r="I12" i="7"/>
  <c r="I11" i="7"/>
  <c r="I10" i="7"/>
  <c r="I9" i="7"/>
  <c r="I8" i="7"/>
  <c r="I7" i="7"/>
  <c r="I6" i="7"/>
  <c r="H23" i="6"/>
  <c r="B20" i="6" s="1"/>
  <c r="F20" i="6"/>
  <c r="D20" i="6"/>
  <c r="I17" i="6"/>
  <c r="I16" i="6"/>
  <c r="I15" i="6"/>
  <c r="I14" i="6"/>
  <c r="I13" i="6"/>
  <c r="I12" i="6"/>
  <c r="I11" i="6"/>
  <c r="I10" i="6"/>
  <c r="I9" i="6"/>
  <c r="I8" i="6"/>
  <c r="I7" i="6"/>
  <c r="I6" i="6"/>
  <c r="I5" i="6"/>
  <c r="I4" i="6"/>
  <c r="H23" i="5"/>
  <c r="C20" i="5" s="1"/>
  <c r="F20" i="5"/>
  <c r="D20" i="5"/>
  <c r="B20" i="5"/>
  <c r="I17" i="5"/>
  <c r="I16" i="5"/>
  <c r="I15" i="5"/>
  <c r="I14" i="5"/>
  <c r="I13" i="5"/>
  <c r="I12" i="5"/>
  <c r="I11" i="5"/>
  <c r="I10" i="5"/>
  <c r="I9" i="5"/>
  <c r="I8" i="5"/>
  <c r="I7" i="5"/>
  <c r="H23" i="4"/>
  <c r="F20" i="4"/>
  <c r="D20" i="4"/>
  <c r="I17" i="4"/>
  <c r="I16" i="4"/>
  <c r="I15" i="4"/>
  <c r="I14" i="4"/>
  <c r="I13" i="4"/>
  <c r="I12" i="4"/>
  <c r="I11" i="4"/>
  <c r="I10" i="4"/>
  <c r="I9" i="4"/>
  <c r="I8" i="4"/>
  <c r="I7" i="4"/>
  <c r="H23" i="3"/>
  <c r="F20" i="3"/>
  <c r="D20" i="3"/>
  <c r="B20" i="3"/>
  <c r="C20" i="3" s="1"/>
  <c r="I17" i="3"/>
  <c r="I16" i="3"/>
  <c r="I15" i="3"/>
  <c r="I14" i="3"/>
  <c r="I13" i="3"/>
  <c r="I12" i="3"/>
  <c r="I11" i="3"/>
  <c r="I10" i="3"/>
  <c r="I9" i="3"/>
  <c r="I8" i="3"/>
  <c r="I7" i="3"/>
  <c r="H23" i="2"/>
  <c r="F20" i="2"/>
  <c r="D20" i="2"/>
  <c r="I17" i="2"/>
  <c r="I16" i="2"/>
  <c r="I15" i="2"/>
  <c r="I14" i="2"/>
  <c r="I13" i="2"/>
  <c r="I12" i="2"/>
  <c r="I11" i="2"/>
  <c r="I10" i="2"/>
  <c r="I9" i="2"/>
  <c r="I8" i="2"/>
  <c r="I7" i="2"/>
  <c r="H23" i="1"/>
  <c r="C20" i="1" s="1"/>
  <c r="F20" i="1"/>
  <c r="D20" i="1"/>
  <c r="B20" i="1"/>
  <c r="I17" i="1"/>
  <c r="I16" i="1"/>
  <c r="I15" i="1"/>
  <c r="I14" i="1"/>
  <c r="I13" i="1"/>
  <c r="I12" i="1"/>
  <c r="I11" i="1"/>
  <c r="I10" i="1"/>
  <c r="I9" i="1"/>
  <c r="I8" i="1"/>
  <c r="I7" i="1"/>
  <c r="I4" i="9" l="1"/>
  <c r="I5" i="9"/>
  <c r="I3" i="9"/>
  <c r="E20" i="9" s="1"/>
  <c r="D22" i="9" s="1"/>
  <c r="I6" i="9"/>
  <c r="I4" i="3"/>
  <c r="I6" i="3"/>
  <c r="I3" i="3"/>
  <c r="E20" i="3" s="1"/>
  <c r="D22" i="3" s="1"/>
  <c r="I5" i="3"/>
  <c r="I6" i="5"/>
  <c r="I5" i="5"/>
  <c r="I4" i="5"/>
  <c r="I3" i="5"/>
  <c r="E20" i="5" s="1"/>
  <c r="D22" i="5" s="1"/>
  <c r="I3" i="8"/>
  <c r="E20" i="8" s="1"/>
  <c r="D22" i="8" s="1"/>
  <c r="I4" i="8"/>
  <c r="I5" i="8"/>
  <c r="F48" i="14"/>
  <c r="A18" i="14" s="1"/>
  <c r="I4" i="11"/>
  <c r="I3" i="11"/>
  <c r="E20" i="11" s="1"/>
  <c r="D22" i="11" s="1"/>
  <c r="I6" i="11"/>
  <c r="I5" i="11"/>
  <c r="I6" i="13"/>
  <c r="I5" i="13"/>
  <c r="I4" i="13"/>
  <c r="I3" i="13"/>
  <c r="E20" i="13" s="1"/>
  <c r="D22" i="13" s="1"/>
  <c r="I4" i="1"/>
  <c r="I5" i="1"/>
  <c r="I3" i="1"/>
  <c r="I6" i="1"/>
  <c r="E20" i="1" s="1"/>
  <c r="D22" i="1" s="1"/>
  <c r="I4" i="7"/>
  <c r="I3" i="7"/>
  <c r="E20" i="7"/>
  <c r="D22" i="7" s="1"/>
  <c r="I5" i="7"/>
  <c r="D22" i="12"/>
  <c r="I3" i="12"/>
  <c r="C20" i="6"/>
  <c r="B20" i="4"/>
  <c r="C20" i="4" s="1"/>
  <c r="B20" i="12"/>
  <c r="E20" i="6"/>
  <c r="B20" i="2"/>
  <c r="C20" i="2" s="1"/>
  <c r="B20" i="10"/>
  <c r="C20" i="10" s="1"/>
  <c r="E3" i="14" l="1"/>
  <c r="F3" i="14" s="1"/>
  <c r="D23" i="1"/>
  <c r="D23" i="5"/>
  <c r="E7" i="14"/>
  <c r="F7" i="14" s="1"/>
  <c r="G7" i="14" s="1"/>
  <c r="D23" i="3"/>
  <c r="E5" i="14"/>
  <c r="F5" i="14" s="1"/>
  <c r="G5" i="14" s="1"/>
  <c r="E13" i="14"/>
  <c r="F13" i="14" s="1"/>
  <c r="D23" i="11"/>
  <c r="I3" i="10"/>
  <c r="I6" i="10"/>
  <c r="E20" i="10" s="1"/>
  <c r="D22" i="10" s="1"/>
  <c r="I4" i="10"/>
  <c r="I5" i="10"/>
  <c r="E15" i="14"/>
  <c r="F15" i="14" s="1"/>
  <c r="D23" i="13"/>
  <c r="I6" i="2"/>
  <c r="I5" i="2"/>
  <c r="I4" i="2"/>
  <c r="I3" i="2"/>
  <c r="E20" i="2" s="1"/>
  <c r="D22" i="2" s="1"/>
  <c r="D23" i="7"/>
  <c r="E9" i="14"/>
  <c r="F9" i="14" s="1"/>
  <c r="G9" i="14" s="1"/>
  <c r="D23" i="9"/>
  <c r="E11" i="14"/>
  <c r="F11" i="14" s="1"/>
  <c r="G11" i="14" s="1"/>
  <c r="E10" i="14"/>
  <c r="F10" i="14" s="1"/>
  <c r="G10" i="14" s="1"/>
  <c r="D23" i="8"/>
  <c r="D22" i="6"/>
  <c r="I3" i="6"/>
  <c r="D23" i="12"/>
  <c r="E14" i="14"/>
  <c r="F14" i="14" s="1"/>
  <c r="I3" i="4"/>
  <c r="I4" i="4"/>
  <c r="I6" i="4"/>
  <c r="I5" i="4"/>
  <c r="E4" i="14" l="1"/>
  <c r="F4" i="14" s="1"/>
  <c r="G4" i="14" s="1"/>
  <c r="D23" i="2"/>
  <c r="E12" i="14"/>
  <c r="F12" i="14" s="1"/>
  <c r="D23" i="10"/>
  <c r="E20" i="4"/>
  <c r="D22" i="4" s="1"/>
  <c r="E8" i="14"/>
  <c r="F8" i="14" s="1"/>
  <c r="G8" i="14" s="1"/>
  <c r="D23" i="6"/>
  <c r="G3" i="14"/>
  <c r="E6" i="14" l="1"/>
  <c r="F6" i="14" s="1"/>
  <c r="D23" i="4"/>
  <c r="G6" i="14" l="1"/>
  <c r="F16" i="14"/>
</calcChain>
</file>

<file path=xl/sharedStrings.xml><?xml version="1.0" encoding="utf-8"?>
<sst xmlns="http://schemas.openxmlformats.org/spreadsheetml/2006/main" count="398" uniqueCount="67">
  <si>
    <t>ESTIMATIVA DO ITEM</t>
  </si>
  <si>
    <t>ITEM 1</t>
  </si>
  <si>
    <t>MATERIAL</t>
  </si>
  <si>
    <t>UNIDADE</t>
  </si>
  <si>
    <t>QUANT.</t>
  </si>
  <si>
    <t>FONTE DE PESQUISA</t>
  </si>
  <si>
    <t>PREÇOS</t>
  </si>
  <si>
    <t>DESCARTE</t>
  </si>
  <si>
    <t xml:space="preserve">Fornecimento e instalação de VIDRO LAMINADO de 08
mm em esquadrias existentes. Para instalação no Edifício
Sede do Tribunal Regional Eleitoral da Bahia, e Prédios dos
Cartórios Eleitorais da Capital (Anexo I), Anexo II e Centro
de Apoio Técnico (CAT).
Está incluída a retirada/descarte adequado dos vidros
avariados, além da retirada e reinstalação de ferragens e
puxadores existentes, bem como todo o material necessário à
instalação, quando necessário.
</t>
  </si>
  <si>
    <t>m²</t>
  </si>
  <si>
    <t>EDIMAR DOS SANTOS</t>
  </si>
  <si>
    <t>ASN VENDAS PROGRAMADAS</t>
  </si>
  <si>
    <t>MARTA LUCIA NOGUEIRA</t>
  </si>
  <si>
    <t>CORTINA DE VIDRO</t>
  </si>
  <si>
    <t>DESVIO</t>
  </si>
  <si>
    <t>COEF.</t>
  </si>
  <si>
    <t>MÉDIA</t>
  </si>
  <si>
    <t>MÉDIA APÓS DESCARTE</t>
  </si>
  <si>
    <t>MEDIANA</t>
  </si>
  <si>
    <t>VALOR UNITÁRIO</t>
  </si>
  <si>
    <t>VALOR TOTAL</t>
  </si>
  <si>
    <t>Quantidade de preços coletados =</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</si>
  <si>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</si>
  <si>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</si>
  <si>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</si>
  <si>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</si>
  <si>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</si>
  <si>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</si>
  <si>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</si>
  <si>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</si>
  <si>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Fornecimento e instalação de VIDRO TEMPERADO de 8
mm em esquadrias existentes (box de banheiro) para
instalação no Prédio do Edifício Sede deste TRE,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t>
  </si>
  <si>
    <t>MVS COMERCIO E SERVICOS</t>
  </si>
  <si>
    <t>ITEM 3</t>
  </si>
  <si>
    <t xml:space="preserve">Fornecimento e instalação de VIDRO TEMPERADO de 10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t>
  </si>
  <si>
    <t>LUCIVALDA SOUZA DE SANTANA</t>
  </si>
  <si>
    <t>ARQ´TECCOMERCIO E SERVICOS</t>
  </si>
  <si>
    <t>ITEM 4</t>
  </si>
  <si>
    <t xml:space="preserve">Fornecimento e instalação de VIDRO LISO INCOLOR de
06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t>
  </si>
  <si>
    <t>ITEM 5</t>
  </si>
  <si>
    <t>Fornecimento e instalação de VIDRO TEMPERADO de 06
mm em esquadrias existentes. Para instalação no Prédio do
Edifício Sede deste TRE, Prédio Anexo, Prédios dos
Cartórios Eleitorais da Capital (Anexo I), Anexo II, III, e
Centro de Apoio Técnico (CAT).
Está incluída a retirada/descarte adequado dos vidros
avariados, além da retirada e reinstalação de ferragens e
puxadores existentes, bem como todo o material necessário à
isntalação, quando necessário.</t>
  </si>
  <si>
    <t>ITEM 6</t>
  </si>
  <si>
    <t xml:space="preserve">Fornecimento e instalação de VIDRO LAMINADO de 10
mm em esquadrias existentes. Para instalação no Anexo III
do Tribunal Regional Eleitoral da Bahia,
Está incluída a retirada/descarte adequado dos vidros
avariados, além da retirada e reinstalação de ferragens e
puxadores existentes, bem como todo o material necessário à
isntalação, quando necessário..
</t>
  </si>
  <si>
    <t>ITEM 7</t>
  </si>
  <si>
    <t>Fornecimento e instalação de PELÍCULAS de proteção
solar do tipo profissional , na tonalidade fumê, referência G5
(5% de visibilidade), a serem instaladas nos vidros das
esquadrias no Prédio do Edifício Sede deste TRE, Prédios
dos Cartórios Eleitorais da Capital (Anexo I), Anexo II, III, e
Centro de Apoio Técnico (CAT). Está incluída a retirada/descarte adequado das películas.</t>
  </si>
  <si>
    <t>LEILA ARAUJO ARGOLO</t>
  </si>
  <si>
    <t>LEOSVALDO A. MANSO</t>
  </si>
  <si>
    <t>ITEM 8</t>
  </si>
  <si>
    <t xml:space="preserve">Fornecimento e instalação de PELÍCULAS autocolante
jateada para aplicação em portas de vidro no Prédio do
Edifício Sede deste TRE, Prédio Anexo, Prédios dos
Cartórios Eleitorais da Capital (Anexo I), Anexo II, III, e
Centro de Apoio Técnico (CAT).
Está incluída a retirada/descarte adequado das películas.
</t>
  </si>
  <si>
    <t>ITEM 9</t>
  </si>
  <si>
    <t>Fornecimento e instalação de PERSIANAS verticais em
tecido resinado de dimensões aproximadas de 2,5m x 2,5m
(6,25m²), para instalação na sede deste TRE, Prédios dos
Cartórios Eleitorais da Capital (Anexo I), Anexo II, III, e
Centro de Apoio Técnico (CAT).
1) lâminas de 90 mm, na cor Cairo (conforme a
tonalidade adotada pelas outras unidades do
Tribunal);
2) trilhos superiores em alumínio extrudado;
3) corrente de comando para girar 180o em PVC;
4) cordão de comando, em poliéster, na cor creme ou
bege;
5) corrente de base, em PVC;
6) cabide e pingente em PVC;
7) balastro de 90 mm apropriado para instalação de
corrente PVC;
8) pêndulo em PVC na cor branca</t>
  </si>
  <si>
    <t>RFS PERSIANAS E CORTINAS</t>
  </si>
  <si>
    <t>JR DECORACOES E COMERCIO</t>
  </si>
  <si>
    <t>ITEM 10</t>
  </si>
  <si>
    <t>ITEM 11</t>
  </si>
  <si>
    <t>ITEM 12</t>
  </si>
  <si>
    <t>ITEM 13</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</si>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</sst>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R$-416]\ #,##0.00;[Red]\-[$R$-416]\ #,##0.00"/>
    <numFmt numFmtId="165" formatCode="_-&quot;R$ &quot;* #,##0.00_-;&quot;-R$ &quot;* #,##0.00_-;_-&quot;R$ &quot;* \-??_-;_-@_-"/>
    <numFmt numFmtId="166" formatCode="&quot;R$ &quot;#,##0.00;&quot;-R$ &quot;#,##0.00"/>
  </numFmts>
  <fonts count="20" x14ac:knownFonts="1">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9"/>
      <name val="Calibri"/>
      <family val="2"/>
      <charset val="1"/>
    </font>
    <font>
      <b/>
      <sz val="10"/>
      <color rgb="FF000000"/>
      <name val="Calibri"/>
      <family val="2"/>
      <charset val="1"/>
    </font>
    <font>
      <sz val="10"/>
      <color rgb="FF000000"/>
      <name val="Calibri"/>
      <family val="2"/>
    </font>
    <font>
      <sz val="10"/>
      <name val="Arial"/>
      <charset val="1"/>
    </font>
    <font>
      <b/>
      <sz val="16"/>
      <name val="Calibri"/>
      <family val="2"/>
      <charset val="1"/>
    </font>
    <font>
      <b/>
      <sz val="13"/>
      <name val="Calibri"/>
      <family val="2"/>
      <charset val="1"/>
    </font>
  </fonts>
  <fills count="10">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D9D9D9"/>
        <bgColor rgb="FFDDDDDD"/>
      </patternFill>
    </fill>
  </fills>
  <borders count="12">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right style="hair">
        <color auto="1"/>
      </right>
      <top/>
      <bottom/>
      <diagonal/>
    </border>
    <border>
      <left style="hair">
        <color auto="1"/>
      </left>
      <right/>
      <top/>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s>
  <cellStyleXfs count="21">
    <xf numFmtId="0" fontId="0" fillId="0" borderId="0"/>
    <xf numFmtId="165"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9">
    <xf numFmtId="0" fontId="0" fillId="0" borderId="0" xfId="0"/>
    <xf numFmtId="0" fontId="11" fillId="9" borderId="2" xfId="0" applyFont="1" applyFill="1" applyBorder="1" applyAlignment="1">
      <alignment horizontal="center" wrapText="1"/>
    </xf>
    <xf numFmtId="0" fontId="16" fillId="0" borderId="2" xfId="0" applyFont="1" applyBorder="1" applyAlignment="1">
      <alignment horizontal="center" vertical="center" wrapText="1"/>
    </xf>
    <xf numFmtId="0" fontId="10" fillId="0" borderId="10" xfId="0" applyFont="1" applyBorder="1" applyAlignment="1">
      <alignment wrapText="1"/>
    </xf>
    <xf numFmtId="0" fontId="10" fillId="0" borderId="9" xfId="0" applyFont="1" applyBorder="1" applyAlignment="1">
      <alignment wrapText="1"/>
    </xf>
    <xf numFmtId="0" fontId="10" fillId="0" borderId="9" xfId="0" applyFont="1" applyBorder="1"/>
    <xf numFmtId="0" fontId="10" fillId="0" borderId="8" xfId="0" applyFont="1" applyBorder="1"/>
    <xf numFmtId="164" fontId="10" fillId="0" borderId="2" xfId="0" applyNumberFormat="1" applyFont="1" applyBorder="1" applyAlignment="1">
      <alignment horizontal="left"/>
    </xf>
    <xf numFmtId="0" fontId="12" fillId="0" borderId="2" xfId="0" applyFont="1" applyBorder="1" applyAlignment="1">
      <alignment horizont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left" vertical="top"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1" fillId="4" borderId="2" xfId="0" applyFont="1" applyFill="1" applyBorder="1" applyAlignment="1">
      <alignment horizontal="center"/>
    </xf>
    <xf numFmtId="0" fontId="10" fillId="0" borderId="0" xfId="0" applyFont="1"/>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4" fillId="0" borderId="2" xfId="0" applyFont="1" applyBorder="1"/>
    <xf numFmtId="164" fontId="15" fillId="0" borderId="2" xfId="0" applyNumberFormat="1" applyFont="1" applyBorder="1" applyAlignment="1">
      <alignment horizontal="center"/>
    </xf>
    <xf numFmtId="0" fontId="12" fillId="0" borderId="4" xfId="0" applyFont="1" applyBorder="1" applyAlignment="1">
      <alignment horizontal="center" vertical="center"/>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4" fillId="0" borderId="4" xfId="0" applyFont="1" applyBorder="1"/>
    <xf numFmtId="164" fontId="15" fillId="0" borderId="4" xfId="0" applyNumberFormat="1" applyFont="1" applyBorder="1" applyAlignment="1">
      <alignment horizontal="center"/>
    </xf>
    <xf numFmtId="0" fontId="12" fillId="0" borderId="6" xfId="0" applyFont="1" applyBorder="1" applyAlignment="1">
      <alignment horizontal="center" vertical="center"/>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0" fontId="14" fillId="0" borderId="7" xfId="0" applyFont="1" applyBorder="1"/>
    <xf numFmtId="164" fontId="15" fillId="0" borderId="0" xfId="0" applyNumberFormat="1" applyFont="1" applyBorder="1" applyAlignment="1">
      <alignment horizontal="center"/>
    </xf>
    <xf numFmtId="0" fontId="12" fillId="0" borderId="6" xfId="0" applyFont="1" applyBorder="1" applyAlignment="1"/>
    <xf numFmtId="0" fontId="10" fillId="0" borderId="8" xfId="0" applyFont="1" applyBorder="1" applyAlignment="1">
      <alignment horizontal="center"/>
    </xf>
    <xf numFmtId="10" fontId="10" fillId="0" borderId="8" xfId="0" applyNumberFormat="1" applyFont="1" applyBorder="1" applyAlignment="1">
      <alignment horizontal="center"/>
    </xf>
    <xf numFmtId="164" fontId="13" fillId="0" borderId="8" xfId="0" applyNumberFormat="1" applyFont="1" applyBorder="1" applyAlignment="1">
      <alignment horizontal="center"/>
    </xf>
    <xf numFmtId="164" fontId="13" fillId="0" borderId="8" xfId="0" applyNumberFormat="1" applyFont="1" applyBorder="1" applyAlignment="1">
      <alignment horizontal="center" wrapText="1"/>
    </xf>
    <xf numFmtId="164" fontId="10" fillId="0" borderId="7" xfId="0" applyNumberFormat="1" applyFont="1" applyBorder="1" applyAlignment="1">
      <alignment horizontal="left"/>
    </xf>
    <xf numFmtId="164" fontId="10" fillId="0" borderId="0" xfId="0" applyNumberFormat="1" applyFont="1" applyBorder="1" applyAlignment="1">
      <alignment horizontal="left"/>
    </xf>
    <xf numFmtId="0" fontId="12" fillId="0" borderId="0" xfId="0" applyFont="1" applyBorder="1" applyAlignment="1"/>
    <xf numFmtId="164" fontId="10" fillId="0" borderId="4" xfId="0" applyNumberFormat="1" applyFont="1" applyBorder="1" applyAlignment="1">
      <alignment horizontal="left"/>
    </xf>
    <xf numFmtId="164" fontId="10" fillId="0" borderId="0" xfId="0" applyNumberFormat="1" applyFont="1" applyBorder="1" applyAlignment="1"/>
    <xf numFmtId="0" fontId="10" fillId="0" borderId="0" xfId="0" applyFont="1" applyAlignment="1">
      <alignment horizontal="right"/>
    </xf>
    <xf numFmtId="0" fontId="10" fillId="0" borderId="0" xfId="0" applyFont="1" applyAlignment="1">
      <alignment horizontal="left"/>
    </xf>
    <xf numFmtId="0" fontId="12" fillId="0" borderId="0" xfId="0" applyFont="1" applyBorder="1" applyAlignment="1">
      <alignment horizontal="center"/>
    </xf>
    <xf numFmtId="0" fontId="14" fillId="0" borderId="2" xfId="0" applyFont="1" applyBorder="1" applyAlignment="1">
      <alignment wrapText="1"/>
    </xf>
    <xf numFmtId="0" fontId="10" fillId="0" borderId="0" xfId="0" applyFont="1" applyAlignment="1">
      <alignment wrapText="1"/>
    </xf>
    <xf numFmtId="0" fontId="10" fillId="0" borderId="0" xfId="0" applyFont="1" applyAlignment="1"/>
    <xf numFmtId="0" fontId="10" fillId="0" borderId="2" xfId="0" applyFont="1" applyBorder="1" applyAlignment="1">
      <alignment horizontal="center" vertical="center" wrapText="1"/>
    </xf>
    <xf numFmtId="0" fontId="10" fillId="0" borderId="2" xfId="0" applyFont="1" applyBorder="1" applyAlignment="1">
      <alignment vertical="center" wrapText="1"/>
    </xf>
    <xf numFmtId="166" fontId="10" fillId="0" borderId="2" xfId="1" applyNumberFormat="1" applyFont="1" applyBorder="1" applyAlignment="1" applyProtection="1">
      <alignment horizontal="center" vertical="center" wrapText="1"/>
    </xf>
    <xf numFmtId="165" fontId="10" fillId="0" borderId="2" xfId="1" applyFont="1" applyBorder="1" applyAlignment="1" applyProtection="1">
      <alignment vertical="center" wrapText="1"/>
    </xf>
    <xf numFmtId="0" fontId="10" fillId="0" borderId="0" xfId="0" applyFont="1" applyAlignment="1">
      <alignment vertical="center"/>
    </xf>
    <xf numFmtId="165" fontId="11" fillId="9" borderId="2" xfId="0" applyNumberFormat="1" applyFont="1" applyFill="1" applyBorder="1" applyAlignment="1">
      <alignment wrapText="1"/>
    </xf>
    <xf numFmtId="0" fontId="10" fillId="0" borderId="2" xfId="0" applyFont="1" applyBorder="1" applyAlignment="1">
      <alignment vertical="top" wrapText="1"/>
    </xf>
    <xf numFmtId="0" fontId="19" fillId="0" borderId="3" xfId="0" applyFont="1" applyBorder="1" applyAlignment="1">
      <alignment horizontal="left" vertical="center" wrapText="1"/>
    </xf>
    <xf numFmtId="0" fontId="19" fillId="0" borderId="5" xfId="0" applyFont="1" applyBorder="1" applyAlignment="1">
      <alignment horizontal="left" vertical="center" wrapText="1"/>
    </xf>
    <xf numFmtId="0" fontId="19" fillId="0" borderId="11" xfId="0" applyFont="1" applyBorder="1" applyAlignment="1">
      <alignment horizontal="left" vertical="center" wrapText="1"/>
    </xf>
    <xf numFmtId="0" fontId="18" fillId="0" borderId="0" xfId="0" applyFont="1" applyBorder="1" applyAlignment="1">
      <alignment horizontal="center" vertical="center" wrapText="1"/>
    </xf>
    <xf numFmtId="0" fontId="19" fillId="0" borderId="2" xfId="0" applyFont="1" applyBorder="1" applyAlignment="1">
      <alignment horizontal="left" vertical="center" wrapText="1"/>
    </xf>
  </cellXfs>
  <cellStyles count="21">
    <cellStyle name="Accent 1 1" xfId="2" xr:uid="{00000000-0005-0000-0000-000006000000}"/>
    <cellStyle name="Accent 2 1" xfId="3" xr:uid="{00000000-0005-0000-0000-000007000000}"/>
    <cellStyle name="Accent 3 1" xfId="4" xr:uid="{00000000-0005-0000-0000-000008000000}"/>
    <cellStyle name="Accent 4" xfId="5" xr:uid="{00000000-0005-0000-0000-000009000000}"/>
    <cellStyle name="Bad 1" xfId="6" xr:uid="{00000000-0005-0000-0000-00000A000000}"/>
    <cellStyle name="Error 1" xfId="7" xr:uid="{00000000-0005-0000-0000-00000B000000}"/>
    <cellStyle name="Footnote 1" xfId="8" xr:uid="{00000000-0005-0000-0000-00000C000000}"/>
    <cellStyle name="Good 1" xfId="9" xr:uid="{00000000-0005-0000-0000-00000D000000}"/>
    <cellStyle name="Heading 1 1" xfId="10" xr:uid="{00000000-0005-0000-0000-00000E000000}"/>
    <cellStyle name="Heading 2 1" xfId="11" xr:uid="{00000000-0005-0000-0000-00000F000000}"/>
    <cellStyle name="Heading 3" xfId="12" xr:uid="{00000000-0005-0000-0000-000010000000}"/>
    <cellStyle name="Moeda" xfId="1" builtinId="4"/>
    <cellStyle name="Neutral 1" xfId="13" xr:uid="{00000000-0005-0000-0000-000011000000}"/>
    <cellStyle name="Normal" xfId="0" builtinId="0"/>
    <cellStyle name="Note 1" xfId="14" xr:uid="{00000000-0005-0000-0000-000012000000}"/>
    <cellStyle name="Resultado" xfId="15" xr:uid="{00000000-0005-0000-0000-000013000000}"/>
    <cellStyle name="Resultado2" xfId="16" xr:uid="{00000000-0005-0000-0000-000014000000}"/>
    <cellStyle name="Status 1" xfId="17" xr:uid="{00000000-0005-0000-0000-000015000000}"/>
    <cellStyle name="Text 1" xfId="18" xr:uid="{00000000-0005-0000-0000-000016000000}"/>
    <cellStyle name="Título1" xfId="19" xr:uid="{00000000-0005-0000-0000-000017000000}"/>
    <cellStyle name="Warning 1" xfId="20" xr:uid="{00000000-0005-0000-0000-00001800000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32"/>
  <sheetViews>
    <sheetView zoomScaleNormal="100" workbookViewId="0">
      <selection sqref="A1:I1"/>
    </sheetView>
  </sheetViews>
  <sheetFormatPr defaultColWidth="9.140625" defaultRowHeight="12.75" x14ac:dyDescent="0.2"/>
  <cols>
    <col min="1" max="1" width="11.85546875" style="15" customWidth="1"/>
    <col min="2" max="3" width="9.140625" style="15"/>
    <col min="4"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1</v>
      </c>
      <c r="B2" s="12" t="s">
        <v>2</v>
      </c>
      <c r="C2" s="12"/>
      <c r="D2" s="12"/>
      <c r="E2" s="16" t="s">
        <v>3</v>
      </c>
      <c r="F2" s="16" t="s">
        <v>4</v>
      </c>
      <c r="G2" s="16" t="s">
        <v>5</v>
      </c>
      <c r="H2" s="17" t="s">
        <v>6</v>
      </c>
      <c r="I2" s="18" t="s">
        <v>7</v>
      </c>
    </row>
    <row r="3" spans="1:9" ht="12.75" customHeight="1" x14ac:dyDescent="0.2">
      <c r="A3" s="13"/>
      <c r="B3" s="11" t="s">
        <v>8</v>
      </c>
      <c r="C3" s="11"/>
      <c r="D3" s="11"/>
      <c r="E3" s="10" t="s">
        <v>9</v>
      </c>
      <c r="F3" s="9">
        <v>100</v>
      </c>
      <c r="G3" s="19" t="s">
        <v>10</v>
      </c>
      <c r="H3" s="20">
        <v>213.22</v>
      </c>
      <c r="I3" s="20">
        <f t="shared" ref="I3:I17" si="0">IF(H3="","",(IF($C$20&lt;25%,"N/A",IF(H3&lt;=($D$20+$B$20),H3,"Descartado"))))</f>
        <v>213.22</v>
      </c>
    </row>
    <row r="4" spans="1:9" x14ac:dyDescent="0.2">
      <c r="A4" s="13"/>
      <c r="B4" s="11"/>
      <c r="C4" s="11"/>
      <c r="D4" s="11"/>
      <c r="E4" s="10"/>
      <c r="F4" s="10"/>
      <c r="G4" s="19" t="s">
        <v>11</v>
      </c>
      <c r="H4" s="20">
        <v>234.31</v>
      </c>
      <c r="I4" s="20">
        <f t="shared" si="0"/>
        <v>234.31</v>
      </c>
    </row>
    <row r="5" spans="1:9" x14ac:dyDescent="0.2">
      <c r="A5" s="13"/>
      <c r="B5" s="11"/>
      <c r="C5" s="11"/>
      <c r="D5" s="11"/>
      <c r="E5" s="10"/>
      <c r="F5" s="10"/>
      <c r="G5" s="19" t="s">
        <v>12</v>
      </c>
      <c r="H5" s="20">
        <v>369.67</v>
      </c>
      <c r="I5" s="20">
        <f t="shared" si="0"/>
        <v>369.67</v>
      </c>
    </row>
    <row r="6" spans="1:9" x14ac:dyDescent="0.2">
      <c r="A6" s="13"/>
      <c r="B6" s="11"/>
      <c r="C6" s="11"/>
      <c r="D6" s="11"/>
      <c r="E6" s="10"/>
      <c r="F6" s="10"/>
      <c r="G6" s="19" t="s">
        <v>13</v>
      </c>
      <c r="H6" s="20">
        <v>942.53</v>
      </c>
      <c r="I6" s="20" t="str">
        <f t="shared" si="0"/>
        <v>Descartado</v>
      </c>
    </row>
    <row r="7" spans="1:9" x14ac:dyDescent="0.2">
      <c r="A7" s="13"/>
      <c r="B7" s="11"/>
      <c r="C7" s="11"/>
      <c r="D7" s="11"/>
      <c r="E7" s="10"/>
      <c r="F7" s="10"/>
      <c r="G7" s="19"/>
      <c r="H7" s="20"/>
      <c r="I7" s="20" t="str">
        <f t="shared" si="0"/>
        <v/>
      </c>
    </row>
    <row r="8" spans="1:9" x14ac:dyDescent="0.2">
      <c r="A8" s="13"/>
      <c r="B8" s="11"/>
      <c r="C8" s="11"/>
      <c r="D8" s="11"/>
      <c r="E8" s="10"/>
      <c r="F8" s="10"/>
      <c r="G8" s="19"/>
      <c r="H8" s="20"/>
      <c r="I8" s="20" t="str">
        <f t="shared" si="0"/>
        <v/>
      </c>
    </row>
    <row r="9" spans="1:9" x14ac:dyDescent="0.2">
      <c r="A9" s="13"/>
      <c r="B9" s="11"/>
      <c r="C9" s="11"/>
      <c r="D9" s="11"/>
      <c r="E9" s="10"/>
      <c r="F9" s="10"/>
      <c r="G9" s="19"/>
      <c r="H9" s="20"/>
      <c r="I9" s="20" t="str">
        <f t="shared" si="0"/>
        <v/>
      </c>
    </row>
    <row r="10" spans="1:9" x14ac:dyDescent="0.2">
      <c r="A10" s="13"/>
      <c r="B10" s="11"/>
      <c r="C10" s="11"/>
      <c r="D10" s="11"/>
      <c r="E10" s="10"/>
      <c r="F10" s="10"/>
      <c r="G10" s="19"/>
      <c r="H10" s="20"/>
      <c r="I10" s="20" t="str">
        <f t="shared" si="0"/>
        <v/>
      </c>
    </row>
    <row r="11" spans="1:9" x14ac:dyDescent="0.2">
      <c r="A11" s="13"/>
      <c r="B11" s="11"/>
      <c r="C11" s="11"/>
      <c r="D11" s="11"/>
      <c r="E11" s="10"/>
      <c r="F11" s="10"/>
      <c r="G11" s="19"/>
      <c r="H11" s="20"/>
      <c r="I11" s="20" t="str">
        <f t="shared" si="0"/>
        <v/>
      </c>
    </row>
    <row r="12" spans="1:9" x14ac:dyDescent="0.2">
      <c r="A12" s="13"/>
      <c r="B12" s="11"/>
      <c r="C12" s="11"/>
      <c r="D12" s="11"/>
      <c r="E12" s="10"/>
      <c r="F12" s="10"/>
      <c r="G12" s="19"/>
      <c r="H12" s="20"/>
      <c r="I12" s="20" t="str">
        <f t="shared" si="0"/>
        <v/>
      </c>
    </row>
    <row r="13" spans="1:9" x14ac:dyDescent="0.2">
      <c r="A13" s="13"/>
      <c r="B13" s="11"/>
      <c r="C13" s="11"/>
      <c r="D13" s="11"/>
      <c r="E13" s="10"/>
      <c r="F13" s="10"/>
      <c r="G13" s="19"/>
      <c r="H13" s="20"/>
      <c r="I13" s="20" t="str">
        <f t="shared" si="0"/>
        <v/>
      </c>
    </row>
    <row r="14" spans="1:9" x14ac:dyDescent="0.2">
      <c r="A14" s="13"/>
      <c r="B14" s="11"/>
      <c r="C14" s="11"/>
      <c r="D14" s="11"/>
      <c r="E14" s="10"/>
      <c r="F14" s="10"/>
      <c r="G14" s="19"/>
      <c r="H14" s="20"/>
      <c r="I14" s="20" t="str">
        <f t="shared" si="0"/>
        <v/>
      </c>
    </row>
    <row r="15" spans="1:9" x14ac:dyDescent="0.2">
      <c r="A15" s="13"/>
      <c r="B15" s="11"/>
      <c r="C15" s="11"/>
      <c r="D15" s="11"/>
      <c r="E15" s="10"/>
      <c r="F15" s="10"/>
      <c r="G15" s="19"/>
      <c r="H15" s="20"/>
      <c r="I15" s="20" t="str">
        <f t="shared" si="0"/>
        <v/>
      </c>
    </row>
    <row r="16" spans="1:9" x14ac:dyDescent="0.2">
      <c r="A16" s="13"/>
      <c r="B16" s="11"/>
      <c r="C16" s="11"/>
      <c r="D16" s="11"/>
      <c r="E16" s="10"/>
      <c r="F16" s="10"/>
      <c r="G16" s="19"/>
      <c r="H16" s="20"/>
      <c r="I16" s="20" t="str">
        <f t="shared" si="0"/>
        <v/>
      </c>
    </row>
    <row r="17" spans="1:9" x14ac:dyDescent="0.2">
      <c r="A17" s="13"/>
      <c r="B17" s="11"/>
      <c r="C17" s="11"/>
      <c r="D17" s="11"/>
      <c r="E17" s="10"/>
      <c r="F17" s="10"/>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342.15992171059429</v>
      </c>
      <c r="C20" s="33">
        <f>IF(H23&lt;2,"N/A",(B20/D20))</f>
        <v>0.77775550047017283</v>
      </c>
      <c r="D20" s="34">
        <f>AVERAGE(H3:H17)</f>
        <v>439.9325</v>
      </c>
      <c r="E20" s="35">
        <f>IF(H23&lt;2,"N/A",(IF(C20&lt;=25%,"N/A",AVERAGE(I3:I17))))</f>
        <v>272.40000000000003</v>
      </c>
      <c r="F20" s="34">
        <f>MEDIAN(H3:H17)</f>
        <v>301.99</v>
      </c>
      <c r="G20" s="36"/>
      <c r="H20" s="37"/>
      <c r="I20" s="37"/>
    </row>
    <row r="21" spans="1:9" x14ac:dyDescent="0.2">
      <c r="A21" s="38"/>
      <c r="B21" s="39"/>
      <c r="C21" s="39"/>
      <c r="D21" s="39"/>
      <c r="E21" s="39"/>
      <c r="F21" s="39"/>
      <c r="G21" s="40"/>
      <c r="H21" s="40"/>
      <c r="I21" s="40"/>
    </row>
    <row r="22" spans="1:9" x14ac:dyDescent="0.2">
      <c r="B22" s="8" t="s">
        <v>19</v>
      </c>
      <c r="C22" s="8"/>
      <c r="D22" s="7">
        <f>IF(C20&lt;=25%,D20,MIN(E20:F20))</f>
        <v>272.40000000000003</v>
      </c>
      <c r="E22" s="7"/>
    </row>
    <row r="23" spans="1:9" x14ac:dyDescent="0.2">
      <c r="B23" s="8" t="s">
        <v>20</v>
      </c>
      <c r="C23" s="8"/>
      <c r="D23" s="7">
        <f>ROUND(D22,2)*F3</f>
        <v>27239.999999999996</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52</v>
      </c>
      <c r="B2" s="12" t="s">
        <v>2</v>
      </c>
      <c r="C2" s="12"/>
      <c r="D2" s="12"/>
      <c r="E2" s="16" t="s">
        <v>3</v>
      </c>
      <c r="F2" s="16" t="s">
        <v>4</v>
      </c>
      <c r="G2" s="16" t="s">
        <v>5</v>
      </c>
      <c r="H2" s="17" t="s">
        <v>6</v>
      </c>
      <c r="I2" s="18" t="s">
        <v>7</v>
      </c>
    </row>
    <row r="3" spans="1:9" ht="12.75" customHeight="1" x14ac:dyDescent="0.2">
      <c r="A3" s="13"/>
      <c r="B3" s="11" t="s">
        <v>8</v>
      </c>
      <c r="C3" s="11"/>
      <c r="D3" s="11"/>
      <c r="E3" s="2" t="s">
        <v>9</v>
      </c>
      <c r="F3" s="9">
        <v>300</v>
      </c>
      <c r="G3" s="19" t="s">
        <v>10</v>
      </c>
      <c r="H3" s="20">
        <v>213.22</v>
      </c>
      <c r="I3" s="20">
        <f t="shared" ref="I3:I17" si="0">IF(H3="","",(IF($C$20&lt;25%,"N/A",IF(H3&lt;=($D$20+$B$20),H3,"Descartado"))))</f>
        <v>213.22</v>
      </c>
    </row>
    <row r="4" spans="1:9" x14ac:dyDescent="0.2">
      <c r="A4" s="13"/>
      <c r="B4" s="11"/>
      <c r="C4" s="11"/>
      <c r="D4" s="11"/>
      <c r="E4" s="2"/>
      <c r="F4" s="2"/>
      <c r="G4" s="19" t="s">
        <v>11</v>
      </c>
      <c r="H4" s="20">
        <v>234.31</v>
      </c>
      <c r="I4" s="20">
        <f t="shared" si="0"/>
        <v>234.31</v>
      </c>
    </row>
    <row r="5" spans="1:9" x14ac:dyDescent="0.2">
      <c r="A5" s="13"/>
      <c r="B5" s="11"/>
      <c r="C5" s="11"/>
      <c r="D5" s="11"/>
      <c r="E5" s="2"/>
      <c r="F5" s="2"/>
      <c r="G5" s="19" t="s">
        <v>12</v>
      </c>
      <c r="H5" s="20">
        <v>369.67</v>
      </c>
      <c r="I5" s="20">
        <f t="shared" si="0"/>
        <v>369.67</v>
      </c>
    </row>
    <row r="6" spans="1:9" x14ac:dyDescent="0.2">
      <c r="A6" s="13"/>
      <c r="B6" s="11"/>
      <c r="C6" s="11"/>
      <c r="D6" s="11"/>
      <c r="E6" s="2"/>
      <c r="F6" s="2"/>
      <c r="G6" s="19" t="s">
        <v>13</v>
      </c>
      <c r="H6" s="20">
        <v>942.53</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342.15992171059429</v>
      </c>
      <c r="C20" s="33">
        <f>IF(H23&lt;2,"N/A",(B20/D20))</f>
        <v>0.77775550047017283</v>
      </c>
      <c r="D20" s="34">
        <f>AVERAGE(H3:H17)</f>
        <v>439.9325</v>
      </c>
      <c r="E20" s="35">
        <f>IF(H23&lt;2,"N/A",(IF(C20&lt;=25%,"N/A",AVERAGE(I3:I17))))</f>
        <v>272.40000000000003</v>
      </c>
      <c r="F20" s="34">
        <f>MEDIAN(H3:H17)</f>
        <v>301.99</v>
      </c>
      <c r="G20" s="36"/>
      <c r="H20" s="37"/>
      <c r="I20" s="37"/>
    </row>
    <row r="21" spans="1:9" x14ac:dyDescent="0.2">
      <c r="A21" s="38"/>
      <c r="B21" s="39"/>
      <c r="C21" s="39"/>
      <c r="D21" s="39"/>
      <c r="E21" s="39"/>
      <c r="F21" s="39"/>
      <c r="G21" s="40"/>
      <c r="H21" s="40"/>
      <c r="I21" s="40"/>
    </row>
    <row r="22" spans="1:9" x14ac:dyDescent="0.2">
      <c r="B22" s="8" t="s">
        <v>19</v>
      </c>
      <c r="C22" s="8"/>
      <c r="D22" s="7">
        <f>IF(C20&lt;=25%,D20,MIN(E20:F20))</f>
        <v>272.40000000000003</v>
      </c>
      <c r="E22" s="7"/>
    </row>
    <row r="23" spans="1:9" x14ac:dyDescent="0.2">
      <c r="B23" s="8" t="s">
        <v>20</v>
      </c>
      <c r="C23" s="8"/>
      <c r="D23" s="7">
        <f>ROUND(D22,2)*F3</f>
        <v>81720</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53</v>
      </c>
      <c r="B2" s="12" t="s">
        <v>2</v>
      </c>
      <c r="C2" s="12"/>
      <c r="D2" s="12"/>
      <c r="E2" s="16" t="s">
        <v>3</v>
      </c>
      <c r="F2" s="16" t="s">
        <v>4</v>
      </c>
      <c r="G2" s="16" t="s">
        <v>5</v>
      </c>
      <c r="H2" s="17" t="s">
        <v>6</v>
      </c>
      <c r="I2" s="18" t="s">
        <v>7</v>
      </c>
    </row>
    <row r="3" spans="1:9" ht="12.75" customHeight="1" x14ac:dyDescent="0.2">
      <c r="A3" s="13"/>
      <c r="B3" s="11" t="s">
        <v>39</v>
      </c>
      <c r="C3" s="11"/>
      <c r="D3" s="11"/>
      <c r="E3" s="2" t="s">
        <v>9</v>
      </c>
      <c r="F3" s="9">
        <v>375</v>
      </c>
      <c r="G3" s="19" t="s">
        <v>10</v>
      </c>
      <c r="H3" s="20">
        <v>161.19999999999999</v>
      </c>
      <c r="I3" s="20">
        <f t="shared" ref="I3:I17" si="0">IF(H3="","",(IF($C$20&lt;25%,"N/A",IF(H3&lt;=($D$20+$B$20),H3,"Descartado"))))</f>
        <v>161.19999999999999</v>
      </c>
    </row>
    <row r="4" spans="1:9" x14ac:dyDescent="0.2">
      <c r="A4" s="13"/>
      <c r="B4" s="11"/>
      <c r="C4" s="11"/>
      <c r="D4" s="11"/>
      <c r="E4" s="2"/>
      <c r="F4" s="2"/>
      <c r="G4" s="19" t="s">
        <v>11</v>
      </c>
      <c r="H4" s="20">
        <v>145.79</v>
      </c>
      <c r="I4" s="20">
        <f t="shared" si="0"/>
        <v>145.79</v>
      </c>
    </row>
    <row r="5" spans="1:9" x14ac:dyDescent="0.2">
      <c r="A5" s="13"/>
      <c r="B5" s="11"/>
      <c r="C5" s="11"/>
      <c r="D5" s="11"/>
      <c r="E5" s="2"/>
      <c r="F5" s="2"/>
      <c r="G5" s="19" t="s">
        <v>31</v>
      </c>
      <c r="H5" s="20">
        <v>210.58</v>
      </c>
      <c r="I5" s="20">
        <f t="shared" si="0"/>
        <v>210.58</v>
      </c>
    </row>
    <row r="6" spans="1:9" x14ac:dyDescent="0.2">
      <c r="A6" s="13"/>
      <c r="B6" s="11"/>
      <c r="C6" s="11"/>
      <c r="D6" s="11"/>
      <c r="E6" s="2"/>
      <c r="F6" s="2"/>
      <c r="G6" s="19" t="s">
        <v>13</v>
      </c>
      <c r="H6" s="20">
        <v>419.48</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126.53312514252281</v>
      </c>
      <c r="C20" s="33">
        <f>IF(H23&lt;2,"N/A",(B20/D20))</f>
        <v>0.54013393156191369</v>
      </c>
      <c r="D20" s="34">
        <f>AVERAGE(H3:H17)</f>
        <v>234.26250000000002</v>
      </c>
      <c r="E20" s="35">
        <f>IF(H23&lt;2,"N/A",(IF(C20&lt;=25%,"N/A",AVERAGE(I3:I17))))</f>
        <v>172.52333333333334</v>
      </c>
      <c r="F20" s="34">
        <f>MEDIAN(H3:H17)</f>
        <v>185.89</v>
      </c>
      <c r="G20" s="36"/>
      <c r="H20" s="37"/>
      <c r="I20" s="37"/>
    </row>
    <row r="21" spans="1:9" x14ac:dyDescent="0.2">
      <c r="A21" s="38"/>
      <c r="B21" s="39"/>
      <c r="C21" s="39"/>
      <c r="D21" s="39"/>
      <c r="E21" s="39"/>
      <c r="F21" s="39"/>
      <c r="G21" s="40"/>
      <c r="H21" s="40"/>
      <c r="I21" s="40"/>
    </row>
    <row r="22" spans="1:9" x14ac:dyDescent="0.2">
      <c r="B22" s="8" t="s">
        <v>19</v>
      </c>
      <c r="C22" s="8"/>
      <c r="D22" s="7">
        <f>IF(C20&lt;=25%,D20,MIN(E20:F20))</f>
        <v>172.52333333333334</v>
      </c>
      <c r="E22" s="7"/>
    </row>
    <row r="23" spans="1:9" x14ac:dyDescent="0.2">
      <c r="B23" s="8" t="s">
        <v>20</v>
      </c>
      <c r="C23" s="8"/>
      <c r="D23" s="7">
        <f>ROUND(D22,2)*F3</f>
        <v>64695.000000000007</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54</v>
      </c>
      <c r="B2" s="12" t="s">
        <v>2</v>
      </c>
      <c r="C2" s="12"/>
      <c r="D2" s="12"/>
      <c r="E2" s="16" t="s">
        <v>3</v>
      </c>
      <c r="F2" s="16" t="s">
        <v>4</v>
      </c>
      <c r="G2" s="16" t="s">
        <v>5</v>
      </c>
      <c r="H2" s="17" t="s">
        <v>6</v>
      </c>
      <c r="I2" s="18" t="s">
        <v>7</v>
      </c>
    </row>
    <row r="3" spans="1:9" ht="12.75" customHeight="1" x14ac:dyDescent="0.2">
      <c r="A3" s="13"/>
      <c r="B3" s="11" t="s">
        <v>41</v>
      </c>
      <c r="C3" s="11"/>
      <c r="D3" s="11"/>
      <c r="E3" s="2" t="s">
        <v>9</v>
      </c>
      <c r="F3" s="9">
        <v>150</v>
      </c>
      <c r="G3" s="19" t="s">
        <v>13</v>
      </c>
      <c r="H3" s="20">
        <v>1249.97</v>
      </c>
      <c r="I3" s="20" t="e">
        <f t="shared" ref="I3:I17" si="0">IF(H3="","",(IF($C$20&lt;25%,"N/A",IF(H3&lt;=($D$20+$B$20),H3,"Descartado"))))</f>
        <v>#VALUE!</v>
      </c>
    </row>
    <row r="4" spans="1:9" x14ac:dyDescent="0.2">
      <c r="A4" s="13"/>
      <c r="B4" s="11"/>
      <c r="C4" s="11"/>
      <c r="D4" s="11"/>
      <c r="E4" s="2"/>
      <c r="F4" s="2"/>
      <c r="G4" s="19"/>
      <c r="H4" s="20"/>
      <c r="I4" s="20" t="str">
        <f t="shared" si="0"/>
        <v/>
      </c>
    </row>
    <row r="5" spans="1:9" x14ac:dyDescent="0.2">
      <c r="A5" s="13"/>
      <c r="B5" s="11"/>
      <c r="C5" s="11"/>
      <c r="D5" s="11"/>
      <c r="E5" s="2"/>
      <c r="F5" s="2"/>
      <c r="G5" s="19"/>
      <c r="H5" s="20"/>
      <c r="I5" s="20" t="str">
        <f t="shared" si="0"/>
        <v/>
      </c>
    </row>
    <row r="6" spans="1:9" x14ac:dyDescent="0.2">
      <c r="A6" s="13"/>
      <c r="B6" s="11"/>
      <c r="C6" s="11"/>
      <c r="D6" s="11"/>
      <c r="E6" s="2"/>
      <c r="F6" s="2"/>
      <c r="G6" s="19"/>
      <c r="H6" s="20"/>
      <c r="I6" s="20" t="str">
        <f t="shared" si="0"/>
        <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t="str">
        <f>IF(H23&lt;2,"N/A",(STDEV(H3:H17)))</f>
        <v>N/A</v>
      </c>
      <c r="C20" s="33" t="str">
        <f>IF(H23&lt;2,"N/A",(B20/D20))</f>
        <v>N/A</v>
      </c>
      <c r="D20" s="34">
        <f>AVERAGE(H3:H17)</f>
        <v>1249.97</v>
      </c>
      <c r="E20" s="35" t="str">
        <f>IF(H23&lt;2,"N/A",(IF(C20&lt;=25%,"N/A",AVERAGE(I3:I17))))</f>
        <v>N/A</v>
      </c>
      <c r="F20" s="34">
        <f>MEDIAN(H3:H17)</f>
        <v>1249.97</v>
      </c>
      <c r="G20" s="36"/>
      <c r="H20" s="37"/>
      <c r="I20" s="37"/>
    </row>
    <row r="21" spans="1:9" x14ac:dyDescent="0.2">
      <c r="A21" s="38"/>
      <c r="B21" s="39"/>
      <c r="C21" s="39"/>
      <c r="D21" s="39"/>
      <c r="E21" s="39"/>
      <c r="F21" s="39"/>
      <c r="G21" s="40"/>
      <c r="H21" s="40"/>
      <c r="I21" s="40"/>
    </row>
    <row r="22" spans="1:9" x14ac:dyDescent="0.2">
      <c r="B22" s="8" t="s">
        <v>19</v>
      </c>
      <c r="C22" s="8"/>
      <c r="D22" s="7">
        <f>IF(C20&lt;=25%,D20,MIN(E20:F20))</f>
        <v>1249.97</v>
      </c>
      <c r="E22" s="7"/>
    </row>
    <row r="23" spans="1:9" x14ac:dyDescent="0.2">
      <c r="B23" s="8" t="s">
        <v>20</v>
      </c>
      <c r="C23" s="8"/>
      <c r="D23" s="7">
        <f>ROUND(D22,2)*F3</f>
        <v>187495.5</v>
      </c>
      <c r="E23" s="7"/>
      <c r="G23" s="41" t="s">
        <v>21</v>
      </c>
      <c r="H23" s="42">
        <f>COUNT(H3:H17)</f>
        <v>1</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K32"/>
  <sheetViews>
    <sheetView zoomScaleNormal="100" workbookViewId="0">
      <selection activeCell="G15" sqref="G15"/>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55</v>
      </c>
      <c r="B2" s="12" t="s">
        <v>2</v>
      </c>
      <c r="C2" s="12"/>
      <c r="D2" s="12"/>
      <c r="E2" s="16" t="s">
        <v>3</v>
      </c>
      <c r="F2" s="16" t="s">
        <v>4</v>
      </c>
      <c r="G2" s="16" t="s">
        <v>5</v>
      </c>
      <c r="H2" s="17" t="s">
        <v>6</v>
      </c>
      <c r="I2" s="18" t="s">
        <v>7</v>
      </c>
    </row>
    <row r="3" spans="1:9" ht="12.75" customHeight="1" x14ac:dyDescent="0.2">
      <c r="A3" s="13"/>
      <c r="B3" s="11" t="s">
        <v>49</v>
      </c>
      <c r="C3" s="11"/>
      <c r="D3" s="11"/>
      <c r="E3" s="2" t="s">
        <v>9</v>
      </c>
      <c r="F3" s="9">
        <v>2250</v>
      </c>
      <c r="G3" s="19" t="s">
        <v>11</v>
      </c>
      <c r="H3" s="20">
        <v>38.53</v>
      </c>
      <c r="I3" s="20">
        <f t="shared" ref="I3:I17" si="0">IF(H3="","",(IF($C$20&lt;25%,"N/A",IF(H3&lt;=($D$20+$B$20),H3,"Descartado"))))</f>
        <v>38.53</v>
      </c>
    </row>
    <row r="4" spans="1:9" x14ac:dyDescent="0.2">
      <c r="A4" s="13"/>
      <c r="B4" s="11"/>
      <c r="C4" s="11"/>
      <c r="D4" s="11"/>
      <c r="E4" s="2"/>
      <c r="F4" s="2"/>
      <c r="G4" s="19" t="s">
        <v>50</v>
      </c>
      <c r="H4" s="20">
        <v>38.520000000000003</v>
      </c>
      <c r="I4" s="20">
        <f t="shared" si="0"/>
        <v>38.520000000000003</v>
      </c>
    </row>
    <row r="5" spans="1:9" x14ac:dyDescent="0.2">
      <c r="A5" s="13"/>
      <c r="B5" s="11"/>
      <c r="C5" s="11"/>
      <c r="D5" s="11"/>
      <c r="E5" s="2"/>
      <c r="F5" s="2"/>
      <c r="G5" s="19" t="s">
        <v>51</v>
      </c>
      <c r="H5" s="20">
        <v>57.27</v>
      </c>
      <c r="I5" s="20">
        <f t="shared" si="0"/>
        <v>57.27</v>
      </c>
    </row>
    <row r="6" spans="1:9" x14ac:dyDescent="0.2">
      <c r="A6" s="13"/>
      <c r="B6" s="11"/>
      <c r="C6" s="11"/>
      <c r="D6" s="11"/>
      <c r="E6" s="2"/>
      <c r="F6" s="2"/>
      <c r="G6" s="19" t="s">
        <v>13</v>
      </c>
      <c r="H6" s="20">
        <v>406.79</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181.22389492466681</v>
      </c>
      <c r="C20" s="33">
        <f>IF(H23&lt;2,"N/A",(B20/D20))</f>
        <v>1.3396455059020664</v>
      </c>
      <c r="D20" s="34">
        <f>AVERAGE(H3:H17)</f>
        <v>135.2775</v>
      </c>
      <c r="E20" s="35">
        <f>IF(H23&lt;2,"N/A",(IF(C20&lt;=25%,"N/A",AVERAGE(I3:I17))))</f>
        <v>44.773333333333341</v>
      </c>
      <c r="F20" s="34">
        <f>MEDIAN(H3:H17)</f>
        <v>47.900000000000006</v>
      </c>
      <c r="G20" s="36"/>
      <c r="H20" s="37"/>
      <c r="I20" s="37"/>
    </row>
    <row r="21" spans="1:9" x14ac:dyDescent="0.2">
      <c r="A21" s="38"/>
      <c r="B21" s="39"/>
      <c r="C21" s="39"/>
      <c r="D21" s="39"/>
      <c r="E21" s="39"/>
      <c r="F21" s="39"/>
      <c r="G21" s="40"/>
      <c r="H21" s="40"/>
      <c r="I21" s="40"/>
    </row>
    <row r="22" spans="1:9" x14ac:dyDescent="0.2">
      <c r="B22" s="8" t="s">
        <v>19</v>
      </c>
      <c r="C22" s="8"/>
      <c r="D22" s="7">
        <f>IF(C20&lt;=25%,D20,MIN(E20:F20))</f>
        <v>44.773333333333341</v>
      </c>
      <c r="E22" s="7"/>
    </row>
    <row r="23" spans="1:9" x14ac:dyDescent="0.2">
      <c r="B23" s="8" t="s">
        <v>20</v>
      </c>
      <c r="C23" s="8"/>
      <c r="D23" s="7">
        <f>ROUND(D22,2)*F3</f>
        <v>100732.5</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K48"/>
  <sheetViews>
    <sheetView tabSelected="1" topLeftCell="A16" zoomScaleNormal="100" workbookViewId="0">
      <selection activeCell="L15" sqref="L15"/>
    </sheetView>
  </sheetViews>
  <sheetFormatPr defaultColWidth="9.140625" defaultRowHeight="12.75" x14ac:dyDescent="0.2"/>
  <cols>
    <col min="1" max="1" width="9.140625" style="45"/>
    <col min="2" max="2" width="86.85546875" style="45" customWidth="1"/>
    <col min="3" max="5" width="13.28515625" style="45" customWidth="1"/>
    <col min="6" max="6" width="15.5703125" style="45" customWidth="1"/>
    <col min="7" max="14" width="9.140625" style="46"/>
    <col min="15" max="1025" width="9.140625" style="45"/>
  </cols>
  <sheetData>
    <row r="1" spans="1:7" ht="15.75" customHeight="1" x14ac:dyDescent="0.25">
      <c r="A1" s="1" t="s">
        <v>56</v>
      </c>
      <c r="B1" s="1"/>
      <c r="C1" s="1"/>
      <c r="D1" s="1"/>
      <c r="E1" s="1"/>
      <c r="F1" s="1"/>
    </row>
    <row r="2" spans="1:7" ht="25.5" x14ac:dyDescent="0.2">
      <c r="A2" s="18" t="s">
        <v>57</v>
      </c>
      <c r="B2" s="18" t="s">
        <v>58</v>
      </c>
      <c r="C2" s="18" t="s">
        <v>59</v>
      </c>
      <c r="D2" s="18" t="s">
        <v>60</v>
      </c>
      <c r="E2" s="18" t="s">
        <v>61</v>
      </c>
      <c r="F2" s="18" t="s">
        <v>62</v>
      </c>
    </row>
    <row r="3" spans="1:7" ht="114.75" x14ac:dyDescent="0.2">
      <c r="A3" s="47">
        <v>1</v>
      </c>
      <c r="B3" s="48" t="str">
        <f>Item1!B3</f>
        <v xml:space="preserve">Fornecimento e instalação de VIDRO LAMINADO de 08
mm em esquadrias existentes. Para instalação no Edifício
Sede do Tribunal Regional Eleitoral da Bahia, e Prédios dos
Cartórios Eleitorais da Capital (Anexo I), Anexo II e Centro
de Apoio Técnico (CAT).
Está incluída a retirada/descarte adequado dos vidros
avariados, além da retirada e reinstalação de ferragens e
puxadores existentes, bem como todo o material necessário à
instalação, quando necessário.
</v>
      </c>
      <c r="C3" s="47" t="str">
        <f>Item1!E3</f>
        <v>m²</v>
      </c>
      <c r="D3" s="47">
        <v>100</v>
      </c>
      <c r="E3" s="49">
        <f>Item1!D22</f>
        <v>272.40000000000003</v>
      </c>
      <c r="F3" s="50">
        <f t="shared" ref="F3:F11" si="0">(ROUND(E3,2)*D3)</f>
        <v>27239.999999999996</v>
      </c>
      <c r="G3" s="51" t="str">
        <f t="shared" ref="G3:G11" si="1">IF(F3&gt;80000,"necessária a subdivisão deste item em cotas!","")</f>
        <v/>
      </c>
    </row>
    <row r="4" spans="1:7" ht="114.75" x14ac:dyDescent="0.2">
      <c r="A4" s="47">
        <v>2</v>
      </c>
      <c r="B4" s="48" t="str">
        <f>Item2!B3</f>
        <v>Fornecimento e instalação de VIDRO TEMPERADO de 8
mm em esquadrias existentes (box de banheiro) para
instalação no Prédio do Edifício Sede deste TRE,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v>
      </c>
      <c r="C4" s="47" t="str">
        <f>Item2!E3</f>
        <v>m²</v>
      </c>
      <c r="D4" s="47">
        <f>Item2!F3</f>
        <v>50</v>
      </c>
      <c r="E4" s="49">
        <f>Item2!D22</f>
        <v>183.94000000000003</v>
      </c>
      <c r="F4" s="50">
        <f t="shared" si="0"/>
        <v>9197</v>
      </c>
      <c r="G4" s="51" t="str">
        <f t="shared" si="1"/>
        <v/>
      </c>
    </row>
    <row r="5" spans="1:7" ht="114.75" x14ac:dyDescent="0.2">
      <c r="A5" s="47">
        <v>3</v>
      </c>
      <c r="B5" s="48" t="str">
        <f>Item3!B3</f>
        <v xml:space="preserve">Fornecimento e instalação de VIDRO TEMPERADO de 10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v>
      </c>
      <c r="C5" s="47" t="str">
        <f>Item3!E3</f>
        <v>m²</v>
      </c>
      <c r="D5" s="47">
        <f>Item3!F3</f>
        <v>100</v>
      </c>
      <c r="E5" s="49">
        <f>Item3!D22</f>
        <v>195.08333333333334</v>
      </c>
      <c r="F5" s="50">
        <f t="shared" si="0"/>
        <v>19508</v>
      </c>
      <c r="G5" s="51" t="str">
        <f t="shared" si="1"/>
        <v/>
      </c>
    </row>
    <row r="6" spans="1:7" ht="127.5" x14ac:dyDescent="0.2">
      <c r="A6" s="47">
        <v>4</v>
      </c>
      <c r="B6" s="48" t="str">
        <f>Item4!B3</f>
        <v xml:space="preserve">Fornecimento e instalação de VIDRO LISO INCOLOR de
06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v>
      </c>
      <c r="C6" s="47" t="str">
        <f>Item4!E3</f>
        <v>m²</v>
      </c>
      <c r="D6" s="47">
        <f>Item4!F3</f>
        <v>300</v>
      </c>
      <c r="E6" s="49">
        <f>Item4!D22</f>
        <v>99.056666666666658</v>
      </c>
      <c r="F6" s="50">
        <f t="shared" si="0"/>
        <v>29718</v>
      </c>
      <c r="G6" s="51" t="str">
        <f t="shared" si="1"/>
        <v/>
      </c>
    </row>
    <row r="7" spans="1:7" ht="114.75" x14ac:dyDescent="0.2">
      <c r="A7" s="47">
        <v>5</v>
      </c>
      <c r="B7" s="48" t="str">
        <f>Item5!B3</f>
        <v>Fornecimento e instalação de VIDRO TEMPERADO de 06
mm em esquadrias existentes. Para instalação no Prédio do
Edifício Sede deste TRE, Prédio Anexo, Prédios dos
Cartórios Eleitorais da Capital (Anexo I), Anexo II, III, e
Centro de Apoio Técnico (CAT).
Está incluída a retirada/descarte adequado dos vidros
avariados, além da retirada e reinstalação de ferragens e
puxadores existentes, bem como todo o material necessário à
isntalação, quando necessário.</v>
      </c>
      <c r="C7" s="47" t="str">
        <f>Item5!E3</f>
        <v>m²</v>
      </c>
      <c r="D7" s="47">
        <v>125</v>
      </c>
      <c r="E7" s="49">
        <f>Item5!D22</f>
        <v>172.52333333333334</v>
      </c>
      <c r="F7" s="50">
        <f t="shared" si="0"/>
        <v>21565</v>
      </c>
      <c r="G7" s="51" t="str">
        <f t="shared" si="1"/>
        <v/>
      </c>
    </row>
    <row r="8" spans="1:7" ht="102" x14ac:dyDescent="0.2">
      <c r="A8" s="47">
        <v>6</v>
      </c>
      <c r="B8" s="48" t="str">
        <f>Item6!B3</f>
        <v xml:space="preserve">Fornecimento e instalação de VIDRO LAMINADO de 10
mm em esquadrias existentes. Para instalação no Anexo III
do Tribunal Regional Eleitoral da Bahia,
Está incluída a retirada/descarte adequado dos vidros
avariados, além da retirada e reinstalação de ferragens e
puxadores existentes, bem como todo o material necessário à
isntalação, quando necessário..
</v>
      </c>
      <c r="C8" s="47" t="str">
        <f>Item6!E3</f>
        <v>m²</v>
      </c>
      <c r="D8" s="47">
        <f>Item6!F3</f>
        <v>50</v>
      </c>
      <c r="E8" s="49">
        <f>Item6!D22</f>
        <v>1249.97</v>
      </c>
      <c r="F8" s="50">
        <f t="shared" si="0"/>
        <v>62498.5</v>
      </c>
      <c r="G8" s="51" t="str">
        <f t="shared" si="1"/>
        <v/>
      </c>
    </row>
    <row r="9" spans="1:7" ht="76.5" x14ac:dyDescent="0.2">
      <c r="A9" s="47">
        <v>7</v>
      </c>
      <c r="B9" s="48" t="str">
        <f>Item7!B3</f>
        <v>Fornecimento e instalação de PELÍCULAS de proteção
solar do tipo profissional , na tonalidade fumê, referência G5
(5% de visibilidade), a serem instaladas nos vidros das
esquadrias no Prédio do Edifício Sede deste TRE, Prédios
dos Cartórios Eleitorais da Capital (Anexo I), Anexo II, III, e
Centro de Apoio Técnico (CAT). Está incluída a retirada/descarte adequado das películas.</v>
      </c>
      <c r="C9" s="47" t="str">
        <f>Item7!E3</f>
        <v>m²</v>
      </c>
      <c r="D9" s="47">
        <f>Item7!F3</f>
        <v>1000</v>
      </c>
      <c r="E9" s="49">
        <f>Item7!D22</f>
        <v>21.570000000000004</v>
      </c>
      <c r="F9" s="50">
        <f t="shared" si="0"/>
        <v>21570</v>
      </c>
      <c r="G9" s="51" t="str">
        <f t="shared" si="1"/>
        <v/>
      </c>
    </row>
    <row r="10" spans="1:7" ht="89.25" x14ac:dyDescent="0.2">
      <c r="A10" s="47">
        <v>8</v>
      </c>
      <c r="B10" s="48" t="str">
        <f>Item8!B3</f>
        <v xml:space="preserve">Fornecimento e instalação de PELÍCULAS autocolante
jateada para aplicação em portas de vidro no Prédio do
Edifício Sede deste TRE, Prédio Anexo, Prédios dos
Cartórios Eleitorais da Capital (Anexo I), Anexo II, III, e
Centro de Apoio Técnico (CAT).
Está incluída a retirada/descarte adequado das películas.
</v>
      </c>
      <c r="C10" s="47" t="str">
        <f>Item8!E3</f>
        <v>m²</v>
      </c>
      <c r="D10" s="47">
        <f>Item8!F3</f>
        <v>50</v>
      </c>
      <c r="E10" s="49">
        <f>Item8!D22</f>
        <v>30.543333333333337</v>
      </c>
      <c r="F10" s="50">
        <f t="shared" si="0"/>
        <v>1527</v>
      </c>
      <c r="G10" s="51" t="str">
        <f t="shared" si="1"/>
        <v/>
      </c>
    </row>
    <row r="11" spans="1:7" ht="216.75" x14ac:dyDescent="0.2">
      <c r="A11" s="47">
        <v>9</v>
      </c>
      <c r="B11" s="48" t="str">
        <f>Item9!B3</f>
        <v>Fornecimento e instalação de PERSIANAS verticais em
tecido resinado de dimensões aproximadas de 2,5m x 2,5m
(6,25m²), para instalação na sede deste TRE, Prédios dos
Cartórios Eleitorais da Capital (Anexo I), Anexo II, III, e
Centro de Apoio Técnico (CAT).
1) lâminas de 90 mm, na cor Cairo (conforme a
tonalidade adotada pelas outras unidades do
Tribunal);
2) trilhos superiores em alumínio extrudado;
3) corrente de comando para girar 180o em PVC;
4) cordão de comando, em poliéster, na cor creme ou
bege;
5) corrente de base, em PVC;
6) cabide e pingente em PVC;
7) balastro de 90 mm apropriado para instalação de
corrente PVC;
8) pêndulo em PVC na cor branca</v>
      </c>
      <c r="C11" s="47" t="str">
        <f>Item9!E3</f>
        <v>m²</v>
      </c>
      <c r="D11" s="47">
        <f>Item9!F3</f>
        <v>750</v>
      </c>
      <c r="E11" s="49">
        <f>Item9!D22</f>
        <v>44.773333333333341</v>
      </c>
      <c r="F11" s="50">
        <f t="shared" si="0"/>
        <v>33577.5</v>
      </c>
      <c r="G11" s="51" t="str">
        <f t="shared" si="1"/>
        <v/>
      </c>
    </row>
    <row r="12" spans="1:7" ht="135.75" customHeight="1" x14ac:dyDescent="0.2">
      <c r="A12" s="47">
        <v>10</v>
      </c>
      <c r="B12" s="48" t="str">
        <f>Item10!B3</f>
        <v xml:space="preserve">Fornecimento e instalação de VIDRO LAMINADO de 08
mm em esquadrias existentes. Para instalação no Edifício
Sede do Tribunal Regional Eleitoral da Bahia, e Prédios dos
Cartórios Eleitorais da Capital (Anexo I), Anexo II e Centro
de Apoio Técnico (CAT).
Está incluída a retirada/descarte adequado dos vidros
avariados, além da retirada e reinstalação de ferragens e
puxadores existentes, bem como todo o material necessário à
instalação, quando necessário.
</v>
      </c>
      <c r="C12" s="47" t="str">
        <f>Item10!E3</f>
        <v>m²</v>
      </c>
      <c r="D12" s="47">
        <f>Item10!F3</f>
        <v>300</v>
      </c>
      <c r="E12" s="49">
        <f>Item10!D22</f>
        <v>272.40000000000003</v>
      </c>
      <c r="F12" s="50">
        <f>D12*E12</f>
        <v>81720.000000000015</v>
      </c>
      <c r="G12" s="51"/>
    </row>
    <row r="13" spans="1:7" ht="108" customHeight="1" x14ac:dyDescent="0.2">
      <c r="A13" s="47">
        <v>11</v>
      </c>
      <c r="B13" s="48" t="str">
        <f>Item11!B3</f>
        <v>Fornecimento e instalação de VIDRO TEMPERADO de 06
mm em esquadrias existentes. Para instalação no Prédio do
Edifício Sede deste TRE, Prédio Anexo, Prédios dos
Cartórios Eleitorais da Capital (Anexo I), Anexo II, III, e
Centro de Apoio Técnico (CAT).
Está incluída a retirada/descarte adequado dos vidros
avariados, além da retirada e reinstalação de ferragens e
puxadores existentes, bem como todo o material necessário à
isntalação, quando necessário.</v>
      </c>
      <c r="C13" s="47" t="str">
        <f>Item11!E3</f>
        <v>m²</v>
      </c>
      <c r="D13" s="47">
        <f>Item11!F3</f>
        <v>375</v>
      </c>
      <c r="E13" s="49">
        <f>Item11!D22</f>
        <v>172.52333333333334</v>
      </c>
      <c r="F13" s="50">
        <f>D13*E13</f>
        <v>64696.25</v>
      </c>
      <c r="G13" s="51"/>
    </row>
    <row r="14" spans="1:7" ht="108" customHeight="1" x14ac:dyDescent="0.2">
      <c r="A14" s="47">
        <v>12</v>
      </c>
      <c r="B14" s="48" t="str">
        <f>Item12!B3</f>
        <v xml:space="preserve">Fornecimento e instalação de VIDRO LAMINADO de 10
mm em esquadrias existentes. Para instalação no Anexo III
do Tribunal Regional Eleitoral da Bahia,
Está incluída a retirada/descarte adequado dos vidros
avariados, além da retirada e reinstalação de ferragens e
puxadores existentes, bem como todo o material necessário à
isntalação, quando necessário..
</v>
      </c>
      <c r="C14" s="47" t="str">
        <f>Item12!E3</f>
        <v>m²</v>
      </c>
      <c r="D14" s="47">
        <f>Item12!F3</f>
        <v>150</v>
      </c>
      <c r="E14" s="49">
        <f>Item12!D22</f>
        <v>1249.97</v>
      </c>
      <c r="F14" s="50">
        <f>D14*E14</f>
        <v>187495.5</v>
      </c>
      <c r="G14" s="51"/>
    </row>
    <row r="15" spans="1:7" ht="202.5" customHeight="1" x14ac:dyDescent="0.2">
      <c r="A15" s="47">
        <v>13</v>
      </c>
      <c r="B15" s="48" t="str">
        <f>Item13!B3</f>
        <v>Fornecimento e instalação de PERSIANAS verticais em
tecido resinado de dimensões aproximadas de 2,5m x 2,5m
(6,25m²), para instalação na sede deste TRE, Prédios dos
Cartórios Eleitorais da Capital (Anexo I), Anexo II, III, e
Centro de Apoio Técnico (CAT).
1) lâminas de 90 mm, na cor Cairo (conforme a
tonalidade adotada pelas outras unidades do
Tribunal);
2) trilhos superiores em alumínio extrudado;
3) corrente de comando para girar 180o em PVC;
4) cordão de comando, em poliéster, na cor creme ou
bege;
5) corrente de base, em PVC;
6) cabide e pingente em PVC;
7) balastro de 90 mm apropriado para instalação de
corrente PVC;
8) pêndulo em PVC na cor branca</v>
      </c>
      <c r="C15" s="47" t="str">
        <f>Item13!E3</f>
        <v>m²</v>
      </c>
      <c r="D15" s="47">
        <f>Item13!F3</f>
        <v>2250</v>
      </c>
      <c r="E15" s="49">
        <f>Item13!D22</f>
        <v>44.773333333333341</v>
      </c>
      <c r="F15" s="50">
        <f>D15*E15</f>
        <v>100740.00000000001</v>
      </c>
      <c r="G15" s="51"/>
    </row>
    <row r="16" spans="1:7" ht="43.5" customHeight="1" x14ac:dyDescent="0.25">
      <c r="A16" s="1" t="s">
        <v>63</v>
      </c>
      <c r="B16" s="1"/>
      <c r="C16" s="1"/>
      <c r="D16" s="1"/>
      <c r="E16" s="1"/>
      <c r="F16" s="52">
        <f>SUM(F3:F15)</f>
        <v>661052.75</v>
      </c>
    </row>
    <row r="18" spans="1:6" ht="32.25" customHeight="1" x14ac:dyDescent="0.2">
      <c r="A18" s="57" t="str">
        <f>IF(F48&lt;=17600,"Para contratação por dispensa em razão do valor, utilize o quadro a seguir","O quadro a seguir não se aplica para dispensa em razão do valor, podendo ser aplicado para outras hipóteses de contratação direta")</f>
        <v>O quadro a seguir não se aplica para dispensa em razão do valor, podendo ser aplicado para outras hipóteses de contratação direta</v>
      </c>
      <c r="B18" s="57"/>
      <c r="C18" s="57"/>
      <c r="D18" s="57"/>
      <c r="E18" s="57"/>
      <c r="F18" s="57"/>
    </row>
    <row r="20" spans="1:6" ht="15.75" customHeight="1" x14ac:dyDescent="0.25">
      <c r="A20" s="1" t="s">
        <v>64</v>
      </c>
      <c r="B20" s="1"/>
      <c r="C20" s="1"/>
      <c r="D20" s="1"/>
      <c r="E20" s="1"/>
      <c r="F20" s="1"/>
    </row>
    <row r="21" spans="1:6" ht="25.5" x14ac:dyDescent="0.2">
      <c r="A21" s="18" t="s">
        <v>57</v>
      </c>
      <c r="B21" s="18" t="s">
        <v>58</v>
      </c>
      <c r="C21" s="18" t="s">
        <v>59</v>
      </c>
      <c r="D21" s="18" t="s">
        <v>60</v>
      </c>
      <c r="E21" s="18" t="s">
        <v>61</v>
      </c>
      <c r="F21" s="18" t="s">
        <v>62</v>
      </c>
    </row>
    <row r="22" spans="1:6" ht="17.25" x14ac:dyDescent="0.2">
      <c r="A22" s="18" t="s">
        <v>65</v>
      </c>
      <c r="B22" s="58" t="str">
        <f>INDEX(Item1!G3:G17,MATCH(TOTAL!E23,Item1!H3:H17,0))</f>
        <v>EDIMAR DOS SANTOS</v>
      </c>
      <c r="C22" s="58"/>
      <c r="D22" s="58"/>
      <c r="E22" s="58"/>
      <c r="F22" s="58"/>
    </row>
    <row r="23" spans="1:6" ht="127.5" x14ac:dyDescent="0.2">
      <c r="A23" s="47">
        <v>1</v>
      </c>
      <c r="B23" s="48" t="str">
        <f>Item1!B3</f>
        <v xml:space="preserve">Fornecimento e instalação de VIDRO LAMINADO de 08
mm em esquadrias existentes. Para instalação no Edifício
Sede do Tribunal Regional Eleitoral da Bahia, e Prédios dos
Cartórios Eleitorais da Capital (Anexo I), Anexo II e Centro
de Apoio Técnico (CAT).
Está incluída a retirada/descarte adequado dos vidros
avariados, além da retirada e reinstalação de ferragens e
puxadores existentes, bem como todo o material necessário à
instalação, quando necessário.
</v>
      </c>
      <c r="C23" s="47" t="str">
        <f>Item1!E3</f>
        <v>m²</v>
      </c>
      <c r="D23" s="47">
        <f>Item1!F3</f>
        <v>100</v>
      </c>
      <c r="E23" s="49">
        <f>MIN(Item1!H3:H17)</f>
        <v>213.22</v>
      </c>
      <c r="F23" s="50">
        <f>(ROUND(E23,2)*D23)</f>
        <v>21322</v>
      </c>
    </row>
    <row r="24" spans="1:6" ht="17.25" x14ac:dyDescent="0.2">
      <c r="A24" s="18" t="s">
        <v>65</v>
      </c>
      <c r="B24" s="58" t="str">
        <f>INDEX(Item2!G3:G17,MATCH(TOTAL!E25,Item2!H3:H17,0))</f>
        <v>ASN VENDAS PROGRAMADAS</v>
      </c>
      <c r="C24" s="58"/>
      <c r="D24" s="58"/>
      <c r="E24" s="58"/>
      <c r="F24" s="58"/>
    </row>
    <row r="25" spans="1:6" ht="114.75" x14ac:dyDescent="0.2">
      <c r="A25" s="47">
        <v>2</v>
      </c>
      <c r="B25" s="48" t="str">
        <f>Item2!B3</f>
        <v>Fornecimento e instalação de VIDRO TEMPERADO de 8
mm em esquadrias existentes (box de banheiro) para
instalação no Prédio do Edifício Sede deste TRE,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v>
      </c>
      <c r="C25" s="47" t="str">
        <f>Item2!E3</f>
        <v>m²</v>
      </c>
      <c r="D25" s="47">
        <f>Item2!F3</f>
        <v>50</v>
      </c>
      <c r="E25" s="49">
        <f>MIN(Item2!H3:H17)</f>
        <v>161.41</v>
      </c>
      <c r="F25" s="50">
        <f>(ROUND(E25,2)*D25)</f>
        <v>8070.5</v>
      </c>
    </row>
    <row r="26" spans="1:6" ht="12.75" customHeight="1" x14ac:dyDescent="0.2">
      <c r="A26" s="18" t="s">
        <v>65</v>
      </c>
      <c r="B26" s="58" t="str">
        <f>INDEX(Item3!G3:G17,MATCH(TOTAL!E27,Item3!H3:H17,0))</f>
        <v>LUCIVALDA SOUZA DE SANTANA</v>
      </c>
      <c r="C26" s="58"/>
      <c r="D26" s="58"/>
      <c r="E26" s="58"/>
      <c r="F26" s="58"/>
    </row>
    <row r="27" spans="1:6" ht="127.5" x14ac:dyDescent="0.2">
      <c r="A27" s="47">
        <v>3</v>
      </c>
      <c r="B27" s="48" t="str">
        <f>Item3!B3</f>
        <v xml:space="preserve">Fornecimento e instalação de VIDRO TEMPERADO de 10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v>
      </c>
      <c r="C27" s="47" t="str">
        <f>Item3!E3</f>
        <v>m²</v>
      </c>
      <c r="D27" s="47">
        <f>Item3!F3</f>
        <v>100</v>
      </c>
      <c r="E27" s="49">
        <f>MIN(Item3!H3:H17)</f>
        <v>30.19</v>
      </c>
      <c r="F27" s="50">
        <f>(ROUND(E27,2)*D27)</f>
        <v>3019</v>
      </c>
    </row>
    <row r="28" spans="1:6" ht="17.25" x14ac:dyDescent="0.2">
      <c r="A28" s="18" t="s">
        <v>65</v>
      </c>
      <c r="B28" s="58" t="str">
        <f>INDEX(Item4!G3:G17,MATCH(TOTAL!E29,Item4!H3:H17,0))</f>
        <v>ASN VENDAS PROGRAMADAS</v>
      </c>
      <c r="C28" s="58"/>
      <c r="D28" s="58"/>
      <c r="E28" s="58"/>
      <c r="F28" s="58"/>
    </row>
    <row r="29" spans="1:6" ht="127.5" x14ac:dyDescent="0.2">
      <c r="A29" s="47">
        <v>4</v>
      </c>
      <c r="B29" s="48" t="str">
        <f>Item4!B3</f>
        <v xml:space="preserve">Fornecimento e instalação de VIDRO LISO INCOLOR de
06 mm em esquadrias existentes. Para instalação no Prédio
do Edifício Sede deste TRE, Prédio Anexo, Prédios dos
Cartórios Eleitorais da Capital (Anexo I), Anexo II, e Centro
de Apoio Técnico (CAT).
Está incluída a retirada/descarte adequado dos vidros
avariados, além da retirada e reinstalação de ferragens e
puxadores existentes, bem como todo o material necessário à
isntalação, quando necessário.
</v>
      </c>
      <c r="C29" s="47" t="str">
        <f>Item4!E3</f>
        <v>m²</v>
      </c>
      <c r="D29" s="47">
        <f>Item4!F3</f>
        <v>300</v>
      </c>
      <c r="E29" s="49">
        <f>MIN(Item4!H3:H17)</f>
        <v>83.31</v>
      </c>
      <c r="F29" s="50">
        <f>(ROUND(E29,2)*D29)</f>
        <v>24993</v>
      </c>
    </row>
    <row r="30" spans="1:6" ht="17.25" x14ac:dyDescent="0.2">
      <c r="A30" s="18" t="s">
        <v>65</v>
      </c>
      <c r="B30" s="58" t="str">
        <f>INDEX(Item5!G3:G17,MATCH(TOTAL!E31,Item5!H3:H17,0))</f>
        <v>ASN VENDAS PROGRAMADAS</v>
      </c>
      <c r="C30" s="58"/>
      <c r="D30" s="58"/>
      <c r="E30" s="58"/>
      <c r="F30" s="58"/>
    </row>
    <row r="31" spans="1:6" ht="114.75" x14ac:dyDescent="0.2">
      <c r="A31" s="47">
        <v>5</v>
      </c>
      <c r="B31" s="48" t="str">
        <f>Item5!B3</f>
        <v>Fornecimento e instalação de VIDRO TEMPERADO de 06
mm em esquadrias existentes. Para instalação no Prédio do
Edifício Sede deste TRE, Prédio Anexo, Prédios dos
Cartórios Eleitorais da Capital (Anexo I), Anexo II, III, e
Centro de Apoio Técnico (CAT).
Está incluída a retirada/descarte adequado dos vidros
avariados, além da retirada e reinstalação de ferragens e
puxadores existentes, bem como todo o material necessário à
isntalação, quando necessário.</v>
      </c>
      <c r="C31" s="47" t="str">
        <f>Item5!E3</f>
        <v>m²</v>
      </c>
      <c r="D31" s="47">
        <f>Item5!F3</f>
        <v>125</v>
      </c>
      <c r="E31" s="49">
        <f>MIN(Item5!H3:H17)</f>
        <v>145.79</v>
      </c>
      <c r="F31" s="50">
        <f>(ROUND(E31,2)*D31)</f>
        <v>18223.75</v>
      </c>
    </row>
    <row r="32" spans="1:6" ht="17.25" x14ac:dyDescent="0.2">
      <c r="A32" s="18" t="s">
        <v>65</v>
      </c>
      <c r="B32" s="58" t="str">
        <f>INDEX(Item6!G3:G17,MATCH(TOTAL!E33,Item6!H3:H17,0))</f>
        <v>CORTINA DE VIDRO</v>
      </c>
      <c r="C32" s="58"/>
      <c r="D32" s="58"/>
      <c r="E32" s="58"/>
      <c r="F32" s="58"/>
    </row>
    <row r="33" spans="1:7" ht="102" x14ac:dyDescent="0.2">
      <c r="A33" s="47">
        <v>6</v>
      </c>
      <c r="B33" s="48" t="str">
        <f>Item6!B3</f>
        <v xml:space="preserve">Fornecimento e instalação de VIDRO LAMINADO de 10
mm em esquadrias existentes. Para instalação no Anexo III
do Tribunal Regional Eleitoral da Bahia,
Está incluída a retirada/descarte adequado dos vidros
avariados, além da retirada e reinstalação de ferragens e
puxadores existentes, bem como todo o material necessário à
isntalação, quando necessário..
</v>
      </c>
      <c r="C33" s="47" t="str">
        <f>Item6!E3</f>
        <v>m²</v>
      </c>
      <c r="D33" s="47">
        <f>Item6!F3</f>
        <v>50</v>
      </c>
      <c r="E33" s="49">
        <f>MIN(Item6!H3:H17)</f>
        <v>1249.97</v>
      </c>
      <c r="F33" s="50">
        <f>(ROUND(E33,2)*D33)</f>
        <v>62498.5</v>
      </c>
    </row>
    <row r="34" spans="1:7" ht="17.25" x14ac:dyDescent="0.2">
      <c r="A34" s="18" t="s">
        <v>65</v>
      </c>
      <c r="B34" s="58" t="str">
        <f>INDEX(Item7!G3:G17,MATCH(TOTAL!E35,Item7!H3:H17,0))</f>
        <v>LEILA ARAUJO ARGOLO</v>
      </c>
      <c r="C34" s="58"/>
      <c r="D34" s="58"/>
      <c r="E34" s="58"/>
      <c r="F34" s="58"/>
    </row>
    <row r="35" spans="1:7" ht="76.5" x14ac:dyDescent="0.2">
      <c r="A35" s="47">
        <v>7</v>
      </c>
      <c r="B35" s="48" t="str">
        <f>Item7!B3</f>
        <v>Fornecimento e instalação de PELÍCULAS de proteção
solar do tipo profissional , na tonalidade fumê, referência G5
(5% de visibilidade), a serem instaladas nos vidros das
esquadrias no Prédio do Edifício Sede deste TRE, Prédios
dos Cartórios Eleitorais da Capital (Anexo I), Anexo II, III, e
Centro de Apoio Técnico (CAT). Está incluída a retirada/descarte adequado das películas.</v>
      </c>
      <c r="C35" s="47" t="str">
        <f>Item7!E3</f>
        <v>m²</v>
      </c>
      <c r="D35" s="47">
        <f>Item7!F3</f>
        <v>1000</v>
      </c>
      <c r="E35" s="49">
        <f>MIN(Item7!H3:H17)</f>
        <v>15.88</v>
      </c>
      <c r="F35" s="50">
        <f>(ROUND(E35,2)*D35)</f>
        <v>15880</v>
      </c>
    </row>
    <row r="36" spans="1:7" ht="17.25" x14ac:dyDescent="0.2">
      <c r="A36" s="18" t="s">
        <v>65</v>
      </c>
      <c r="B36" s="58" t="str">
        <f>INDEX(Item8!G3:G17,MATCH(TOTAL!E37,Item8!H3:H17,0))</f>
        <v>LEILA ARAUJO ARGOLO</v>
      </c>
      <c r="C36" s="58"/>
      <c r="D36" s="58"/>
      <c r="E36" s="58"/>
      <c r="F36" s="58"/>
    </row>
    <row r="37" spans="1:7" ht="89.25" x14ac:dyDescent="0.2">
      <c r="A37" s="47">
        <v>8</v>
      </c>
      <c r="B37" s="48" t="str">
        <f>Item8!B3</f>
        <v xml:space="preserve">Fornecimento e instalação de PELÍCULAS autocolante
jateada para aplicação em portas de vidro no Prédio do
Edifício Sede deste TRE, Prédio Anexo, Prédios dos
Cartórios Eleitorais da Capital (Anexo I), Anexo II, III, e
Centro de Apoio Técnico (CAT).
Está incluída a retirada/descarte adequado das películas.
</v>
      </c>
      <c r="C37" s="47" t="str">
        <f>Item8!E3</f>
        <v>m²</v>
      </c>
      <c r="D37" s="47">
        <f>Item8!F3</f>
        <v>50</v>
      </c>
      <c r="E37" s="49">
        <f>MIN(Item8!H3:H17)</f>
        <v>20.83</v>
      </c>
      <c r="F37" s="50">
        <f>(ROUND(E37,2)*D37)</f>
        <v>1041.5</v>
      </c>
    </row>
    <row r="38" spans="1:7" ht="17.25" x14ac:dyDescent="0.2">
      <c r="A38" s="18" t="s">
        <v>65</v>
      </c>
      <c r="B38" s="58" t="str">
        <f>INDEX(Item9!G3:G17,MATCH(TOTAL!E39,Item9!H3:H17,0))</f>
        <v>RFS PERSIANAS E CORTINAS</v>
      </c>
      <c r="C38" s="58"/>
      <c r="D38" s="58"/>
      <c r="E38" s="58"/>
      <c r="F38" s="58"/>
    </row>
    <row r="39" spans="1:7" ht="216.75" x14ac:dyDescent="0.2">
      <c r="A39" s="47">
        <v>9</v>
      </c>
      <c r="B39" s="48" t="str">
        <f>Item9!B3</f>
        <v>Fornecimento e instalação de PERSIANAS verticais em
tecido resinado de dimensões aproximadas de 2,5m x 2,5m
(6,25m²), para instalação na sede deste TRE, Prédios dos
Cartórios Eleitorais da Capital (Anexo I), Anexo II, III, e
Centro de Apoio Técnico (CAT).
1) lâminas de 90 mm, na cor Cairo (conforme a
tonalidade adotada pelas outras unidades do
Tribunal);
2) trilhos superiores em alumínio extrudado;
3) corrente de comando para girar 180o em PVC;
4) cordão de comando, em poliéster, na cor creme ou
bege;
5) corrente de base, em PVC;
6) cabide e pingente em PVC;
7) balastro de 90 mm apropriado para instalação de
corrente PVC;
8) pêndulo em PVC na cor branca</v>
      </c>
      <c r="C39" s="47" t="str">
        <f>Item9!E3</f>
        <v>m²</v>
      </c>
      <c r="D39" s="47">
        <f>Item9!F3</f>
        <v>750</v>
      </c>
      <c r="E39" s="49">
        <f>MIN(Item9!H3:H17)</f>
        <v>38.520000000000003</v>
      </c>
      <c r="F39" s="50">
        <f>(ROUND(E39,2)*D39)</f>
        <v>28890.000000000004</v>
      </c>
    </row>
    <row r="40" spans="1:7" ht="24" customHeight="1" x14ac:dyDescent="0.2">
      <c r="A40" s="18" t="s">
        <v>65</v>
      </c>
      <c r="B40" s="58" t="str">
        <f>INDEX(Item10!G3:G17,MATCH(TOTAL!E41,Item10!H3:H17,0))</f>
        <v>EDIMAR DOS SANTOS</v>
      </c>
      <c r="C40" s="58"/>
      <c r="D40" s="58"/>
      <c r="E40" s="58"/>
      <c r="F40" s="58"/>
    </row>
    <row r="41" spans="1:7" ht="117" customHeight="1" x14ac:dyDescent="0.2">
      <c r="A41" s="47">
        <v>10</v>
      </c>
      <c r="B41" s="53" t="str">
        <f>Item10!B3</f>
        <v xml:space="preserve">Fornecimento e instalação de VIDRO LAMINADO de 08
mm em esquadrias existentes. Para instalação no Edifício
Sede do Tribunal Regional Eleitoral da Bahia, e Prédios dos
Cartórios Eleitorais da Capital (Anexo I), Anexo II e Centro
de Apoio Técnico (CAT).
Está incluída a retirada/descarte adequado dos vidros
avariados, além da retirada e reinstalação de ferragens e
puxadores existentes, bem como todo o material necessário à
instalação, quando necessário.
</v>
      </c>
      <c r="C41" s="47" t="str">
        <f>Item10!E3</f>
        <v>m²</v>
      </c>
      <c r="D41" s="47">
        <f>Item10!F3</f>
        <v>300</v>
      </c>
      <c r="E41" s="49">
        <f>MIN(Item10!H3:H17)</f>
        <v>213.22</v>
      </c>
      <c r="F41" s="50">
        <f>(ROUND(E41,2)*D41)</f>
        <v>63966</v>
      </c>
    </row>
    <row r="42" spans="1:7" ht="24" customHeight="1" x14ac:dyDescent="0.2">
      <c r="A42" s="18" t="s">
        <v>65</v>
      </c>
      <c r="B42" s="58" t="str">
        <f>INDEX(Item11!G3:G17,MATCH(TOTAL!E43,Item11!H3:H17,0))</f>
        <v>ASN VENDAS PROGRAMADAS</v>
      </c>
      <c r="C42" s="58"/>
      <c r="D42" s="58"/>
      <c r="E42" s="58"/>
      <c r="F42" s="58"/>
    </row>
    <row r="43" spans="1:7" ht="129.75" customHeight="1" x14ac:dyDescent="0.2">
      <c r="A43" s="47">
        <v>11</v>
      </c>
      <c r="B43" s="48" t="str">
        <f>Item11!B3</f>
        <v>Fornecimento e instalação de VIDRO TEMPERADO de 06
mm em esquadrias existentes. Para instalação no Prédio do
Edifício Sede deste TRE, Prédio Anexo, Prédios dos
Cartórios Eleitorais da Capital (Anexo I), Anexo II, III, e
Centro de Apoio Técnico (CAT).
Está incluída a retirada/descarte adequado dos vidros
avariados, além da retirada e reinstalação de ferragens e
puxadores existentes, bem como todo o material necessário à
isntalação, quando necessário.</v>
      </c>
      <c r="C43" s="47" t="str">
        <f>Item11!E3</f>
        <v>m²</v>
      </c>
      <c r="D43" s="47">
        <f>Item11!F3</f>
        <v>375</v>
      </c>
      <c r="E43" s="49">
        <f>MIN(Item11!H3:H17)</f>
        <v>145.79</v>
      </c>
      <c r="F43" s="50">
        <f>(ROUND(E43,2)*D43)</f>
        <v>54671.25</v>
      </c>
    </row>
    <row r="44" spans="1:7" ht="17.25" x14ac:dyDescent="0.2">
      <c r="A44" s="18" t="s">
        <v>65</v>
      </c>
      <c r="B44" s="58" t="str">
        <f>INDEX(Item12!G3:G17,MATCH(TOTAL!E45,Item12!H3:H17,0))</f>
        <v>CORTINA DE VIDRO</v>
      </c>
      <c r="C44" s="58"/>
      <c r="D44" s="58"/>
      <c r="E44" s="58"/>
      <c r="F44" s="58"/>
    </row>
    <row r="45" spans="1:7" ht="102" x14ac:dyDescent="0.2">
      <c r="A45" s="47">
        <v>12</v>
      </c>
      <c r="B45" s="48" t="str">
        <f>Item12!B3</f>
        <v xml:space="preserve">Fornecimento e instalação de VIDRO LAMINADO de 10
mm em esquadrias existentes. Para instalação no Anexo III
do Tribunal Regional Eleitoral da Bahia,
Está incluída a retirada/descarte adequado dos vidros
avariados, além da retirada e reinstalação de ferragens e
puxadores existentes, bem como todo o material necessário à
isntalação, quando necessário..
</v>
      </c>
      <c r="C45" s="47" t="str">
        <f>Item12!E3</f>
        <v>m²</v>
      </c>
      <c r="D45" s="47">
        <f>Item12!F3</f>
        <v>150</v>
      </c>
      <c r="E45" s="49">
        <f>MIN(Item12!H3:H17)</f>
        <v>1249.97</v>
      </c>
      <c r="F45" s="50">
        <f>(ROUND(E45,2)*D45)</f>
        <v>187495.5</v>
      </c>
      <c r="G45" s="47"/>
    </row>
    <row r="46" spans="1:7" ht="17.25" x14ac:dyDescent="0.2">
      <c r="A46" s="18" t="s">
        <v>65</v>
      </c>
      <c r="B46" s="54" t="str">
        <f>INDEX(Item13!G3:G17,MATCH(TOTAL!E47,Item13!H3:H17,0))</f>
        <v>RFS PERSIANAS E CORTINAS</v>
      </c>
      <c r="C46" s="55"/>
      <c r="D46" s="55"/>
      <c r="E46" s="55"/>
      <c r="F46" s="56"/>
    </row>
    <row r="47" spans="1:7" ht="265.5" customHeight="1" x14ac:dyDescent="0.2">
      <c r="A47" s="47">
        <v>13</v>
      </c>
      <c r="B47" s="48" t="str">
        <f>Item13!B3</f>
        <v>Fornecimento e instalação de PERSIANAS verticais em
tecido resinado de dimensões aproximadas de 2,5m x 2,5m
(6,25m²), para instalação na sede deste TRE, Prédios dos
Cartórios Eleitorais da Capital (Anexo I), Anexo II, III, e
Centro de Apoio Técnico (CAT).
1) lâminas de 90 mm, na cor Cairo (conforme a
tonalidade adotada pelas outras unidades do
Tribunal);
2) trilhos superiores em alumínio extrudado;
3) corrente de comando para girar 180o em PVC;
4) cordão de comando, em poliéster, na cor creme ou
bege;
5) corrente de base, em PVC;
6) cabide e pingente em PVC;
7) balastro de 90 mm apropriado para instalação de
corrente PVC;
8) pêndulo em PVC na cor branca</v>
      </c>
      <c r="C47" s="47" t="str">
        <f>Item13!E3</f>
        <v>m²</v>
      </c>
      <c r="D47" s="47">
        <f>Item13!F3</f>
        <v>2250</v>
      </c>
      <c r="E47" s="49">
        <f>MIN(Item13!H3:H17)</f>
        <v>38.520000000000003</v>
      </c>
      <c r="F47" s="50">
        <f>(ROUND(E47,2)*D47)</f>
        <v>86670</v>
      </c>
    </row>
    <row r="48" spans="1:7" ht="15.75" customHeight="1" x14ac:dyDescent="0.25">
      <c r="A48" s="1" t="s">
        <v>66</v>
      </c>
      <c r="B48" s="1"/>
      <c r="C48" s="1"/>
      <c r="D48" s="1"/>
      <c r="E48" s="1"/>
      <c r="F48" s="52">
        <f>SUM(F23:F47)</f>
        <v>576741</v>
      </c>
    </row>
  </sheetData>
  <mergeCells count="17">
    <mergeCell ref="B44:F44"/>
    <mergeCell ref="A48:E48"/>
    <mergeCell ref="B34:F34"/>
    <mergeCell ref="B36:F36"/>
    <mergeCell ref="B38:F38"/>
    <mergeCell ref="B40:F40"/>
    <mergeCell ref="B42:F42"/>
    <mergeCell ref="B24:F24"/>
    <mergeCell ref="B26:F26"/>
    <mergeCell ref="B28:F28"/>
    <mergeCell ref="B30:F30"/>
    <mergeCell ref="B32:F32"/>
    <mergeCell ref="A1:F1"/>
    <mergeCell ref="A16:E16"/>
    <mergeCell ref="A18:F18"/>
    <mergeCell ref="A20:F20"/>
    <mergeCell ref="B22:F22"/>
  </mergeCells>
  <pageMargins left="0.51180555555555496" right="0.51180555555555496" top="0.78749999999999998" bottom="0.78749999999999998" header="0.51180555555555496" footer="0.51180555555555496"/>
  <pageSetup paperSize="9" firstPageNumber="0" fitToHeight="0" orientation="landscape" horizontalDpi="300" verticalDpi="300"/>
  <rowBreaks count="1" manualBreakCount="1">
    <brk id="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29</v>
      </c>
      <c r="B2" s="12" t="s">
        <v>2</v>
      </c>
      <c r="C2" s="12"/>
      <c r="D2" s="12"/>
      <c r="E2" s="16" t="s">
        <v>3</v>
      </c>
      <c r="F2" s="16" t="s">
        <v>4</v>
      </c>
      <c r="G2" s="16" t="s">
        <v>5</v>
      </c>
      <c r="H2" s="17" t="s">
        <v>6</v>
      </c>
      <c r="I2" s="18" t="s">
        <v>7</v>
      </c>
    </row>
    <row r="3" spans="1:9" ht="12.75" customHeight="1" x14ac:dyDescent="0.2">
      <c r="A3" s="13"/>
      <c r="B3" s="11" t="s">
        <v>30</v>
      </c>
      <c r="C3" s="11"/>
      <c r="D3" s="11"/>
      <c r="E3" s="10" t="s">
        <v>9</v>
      </c>
      <c r="F3" s="9">
        <v>50</v>
      </c>
      <c r="G3" s="19" t="s">
        <v>11</v>
      </c>
      <c r="H3" s="20">
        <v>161.41</v>
      </c>
      <c r="I3" s="20">
        <f t="shared" ref="I3:I17" si="0">IF(H3="","",(IF($C$20&lt;25%,"N/A",IF(H3&lt;=($D$20+$B$20),H3,"Descartado"))))</f>
        <v>161.41</v>
      </c>
    </row>
    <row r="4" spans="1:9" x14ac:dyDescent="0.2">
      <c r="A4" s="13"/>
      <c r="B4" s="11"/>
      <c r="C4" s="11"/>
      <c r="D4" s="11"/>
      <c r="E4" s="10"/>
      <c r="F4" s="9"/>
      <c r="G4" s="19" t="s">
        <v>12</v>
      </c>
      <c r="H4" s="20">
        <v>176.93</v>
      </c>
      <c r="I4" s="20">
        <f t="shared" si="0"/>
        <v>176.93</v>
      </c>
    </row>
    <row r="5" spans="1:9" x14ac:dyDescent="0.2">
      <c r="A5" s="13"/>
      <c r="B5" s="11"/>
      <c r="C5" s="11"/>
      <c r="D5" s="11"/>
      <c r="E5" s="10"/>
      <c r="F5" s="9"/>
      <c r="G5" s="19" t="s">
        <v>31</v>
      </c>
      <c r="H5" s="20">
        <v>213.48</v>
      </c>
      <c r="I5" s="20">
        <f t="shared" si="0"/>
        <v>213.48</v>
      </c>
    </row>
    <row r="6" spans="1:9" x14ac:dyDescent="0.2">
      <c r="A6" s="13"/>
      <c r="B6" s="11"/>
      <c r="C6" s="11"/>
      <c r="D6" s="11"/>
      <c r="E6" s="10"/>
      <c r="F6" s="9"/>
      <c r="G6" s="19" t="s">
        <v>13</v>
      </c>
      <c r="H6" s="20">
        <v>593.49</v>
      </c>
      <c r="I6" s="20" t="str">
        <f t="shared" si="0"/>
        <v>Descartado</v>
      </c>
    </row>
    <row r="7" spans="1:9" x14ac:dyDescent="0.2">
      <c r="A7" s="13"/>
      <c r="B7" s="11"/>
      <c r="C7" s="11"/>
      <c r="D7" s="11"/>
      <c r="E7" s="10"/>
      <c r="F7" s="9"/>
      <c r="G7" s="19"/>
      <c r="H7" s="20"/>
      <c r="I7" s="20" t="str">
        <f t="shared" si="0"/>
        <v/>
      </c>
    </row>
    <row r="8" spans="1:9" x14ac:dyDescent="0.2">
      <c r="A8" s="13"/>
      <c r="B8" s="11"/>
      <c r="C8" s="11"/>
      <c r="D8" s="11"/>
      <c r="E8" s="10"/>
      <c r="F8" s="9"/>
      <c r="G8" s="19"/>
      <c r="H8" s="20"/>
      <c r="I8" s="20" t="str">
        <f t="shared" si="0"/>
        <v/>
      </c>
    </row>
    <row r="9" spans="1:9" x14ac:dyDescent="0.2">
      <c r="A9" s="13"/>
      <c r="B9" s="11"/>
      <c r="C9" s="11"/>
      <c r="D9" s="11"/>
      <c r="E9" s="10"/>
      <c r="F9" s="9"/>
      <c r="G9" s="19"/>
      <c r="H9" s="20"/>
      <c r="I9" s="20" t="str">
        <f t="shared" si="0"/>
        <v/>
      </c>
    </row>
    <row r="10" spans="1:9" x14ac:dyDescent="0.2">
      <c r="A10" s="13"/>
      <c r="B10" s="11"/>
      <c r="C10" s="11"/>
      <c r="D10" s="11"/>
      <c r="E10" s="10"/>
      <c r="F10" s="9"/>
      <c r="G10" s="19"/>
      <c r="H10" s="20"/>
      <c r="I10" s="20" t="str">
        <f t="shared" si="0"/>
        <v/>
      </c>
    </row>
    <row r="11" spans="1:9" x14ac:dyDescent="0.2">
      <c r="A11" s="13"/>
      <c r="B11" s="11"/>
      <c r="C11" s="11"/>
      <c r="D11" s="11"/>
      <c r="E11" s="10"/>
      <c r="F11" s="9"/>
      <c r="G11" s="19"/>
      <c r="H11" s="20"/>
      <c r="I11" s="20" t="str">
        <f t="shared" si="0"/>
        <v/>
      </c>
    </row>
    <row r="12" spans="1:9" x14ac:dyDescent="0.2">
      <c r="A12" s="13"/>
      <c r="B12" s="11"/>
      <c r="C12" s="11"/>
      <c r="D12" s="11"/>
      <c r="E12" s="10"/>
      <c r="F12" s="9"/>
      <c r="G12" s="19"/>
      <c r="H12" s="20"/>
      <c r="I12" s="20" t="str">
        <f t="shared" si="0"/>
        <v/>
      </c>
    </row>
    <row r="13" spans="1:9" x14ac:dyDescent="0.2">
      <c r="A13" s="13"/>
      <c r="B13" s="11"/>
      <c r="C13" s="11"/>
      <c r="D13" s="11"/>
      <c r="E13" s="10"/>
      <c r="F13" s="9"/>
      <c r="G13" s="19"/>
      <c r="H13" s="20"/>
      <c r="I13" s="20" t="str">
        <f t="shared" si="0"/>
        <v/>
      </c>
    </row>
    <row r="14" spans="1:9" x14ac:dyDescent="0.2">
      <c r="A14" s="13"/>
      <c r="B14" s="11"/>
      <c r="C14" s="11"/>
      <c r="D14" s="11"/>
      <c r="E14" s="10"/>
      <c r="F14" s="9"/>
      <c r="G14" s="19"/>
      <c r="H14" s="20"/>
      <c r="I14" s="20" t="str">
        <f t="shared" si="0"/>
        <v/>
      </c>
    </row>
    <row r="15" spans="1:9" x14ac:dyDescent="0.2">
      <c r="A15" s="13"/>
      <c r="B15" s="11"/>
      <c r="C15" s="11"/>
      <c r="D15" s="11"/>
      <c r="E15" s="10"/>
      <c r="F15" s="9"/>
      <c r="G15" s="19"/>
      <c r="H15" s="20"/>
      <c r="I15" s="20" t="str">
        <f t="shared" si="0"/>
        <v/>
      </c>
    </row>
    <row r="16" spans="1:9" x14ac:dyDescent="0.2">
      <c r="A16" s="13"/>
      <c r="B16" s="11"/>
      <c r="C16" s="11"/>
      <c r="D16" s="11"/>
      <c r="E16" s="10"/>
      <c r="F16" s="9"/>
      <c r="G16" s="19"/>
      <c r="H16" s="20"/>
      <c r="I16" s="20" t="str">
        <f t="shared" si="0"/>
        <v/>
      </c>
    </row>
    <row r="17" spans="1:9" x14ac:dyDescent="0.2">
      <c r="A17" s="13"/>
      <c r="B17" s="11"/>
      <c r="C17" s="11"/>
      <c r="D17" s="11"/>
      <c r="E17" s="10"/>
      <c r="F17" s="9"/>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205.93506620210817</v>
      </c>
      <c r="C20" s="33">
        <f>IF(H23&lt;2,"N/A",(B20/D20))</f>
        <v>0.71922908628094817</v>
      </c>
      <c r="D20" s="34">
        <f>AVERAGE(H3:H17)</f>
        <v>286.32749999999999</v>
      </c>
      <c r="E20" s="35">
        <f>IF(H23&lt;2,"N/A",(IF(C20&lt;=25%,"N/A",AVERAGE(I3:I17))))</f>
        <v>183.94000000000003</v>
      </c>
      <c r="F20" s="34">
        <f>MEDIAN(H3:H17)</f>
        <v>195.20499999999998</v>
      </c>
      <c r="G20" s="36"/>
      <c r="H20" s="37"/>
      <c r="I20" s="37"/>
    </row>
    <row r="21" spans="1:9" x14ac:dyDescent="0.2">
      <c r="A21" s="38"/>
      <c r="B21" s="39"/>
      <c r="C21" s="39"/>
      <c r="D21" s="39"/>
      <c r="E21" s="39"/>
      <c r="F21" s="39"/>
      <c r="G21" s="40"/>
      <c r="H21" s="40"/>
      <c r="I21" s="40"/>
    </row>
    <row r="22" spans="1:9" x14ac:dyDescent="0.2">
      <c r="B22" s="8" t="s">
        <v>19</v>
      </c>
      <c r="C22" s="8"/>
      <c r="D22" s="7">
        <f>IF(C20&lt;=25%,D20,MIN(E20:F20))</f>
        <v>183.94000000000003</v>
      </c>
      <c r="E22" s="7"/>
    </row>
    <row r="23" spans="1:9" x14ac:dyDescent="0.2">
      <c r="B23" s="8" t="s">
        <v>20</v>
      </c>
      <c r="C23" s="8"/>
      <c r="D23" s="7">
        <f>ROUND(D22,2)*F3</f>
        <v>9197</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32</v>
      </c>
      <c r="B2" s="12" t="s">
        <v>2</v>
      </c>
      <c r="C2" s="12"/>
      <c r="D2" s="12"/>
      <c r="E2" s="16" t="s">
        <v>3</v>
      </c>
      <c r="F2" s="16" t="s">
        <v>4</v>
      </c>
      <c r="G2" s="16" t="s">
        <v>5</v>
      </c>
      <c r="H2" s="17" t="s">
        <v>6</v>
      </c>
      <c r="I2" s="18" t="s">
        <v>7</v>
      </c>
    </row>
    <row r="3" spans="1:9" ht="12.75" customHeight="1" x14ac:dyDescent="0.2">
      <c r="A3" s="13"/>
      <c r="B3" s="11" t="s">
        <v>33</v>
      </c>
      <c r="C3" s="11"/>
      <c r="D3" s="11"/>
      <c r="E3" s="10" t="s">
        <v>9</v>
      </c>
      <c r="F3" s="9">
        <v>100</v>
      </c>
      <c r="G3" s="44" t="s">
        <v>11</v>
      </c>
      <c r="H3" s="20">
        <v>239.52</v>
      </c>
      <c r="I3" s="20">
        <f t="shared" ref="I3:I17" si="0">IF(H3="","",(IF($C$20&lt;25%,"N/A",IF(H3&lt;=($D$20+$B$20),H3,"Descartado"))))</f>
        <v>239.52</v>
      </c>
    </row>
    <row r="4" spans="1:9" x14ac:dyDescent="0.2">
      <c r="A4" s="13"/>
      <c r="B4" s="11"/>
      <c r="C4" s="11"/>
      <c r="D4" s="11"/>
      <c r="E4" s="10"/>
      <c r="F4" s="9"/>
      <c r="G4" s="19" t="s">
        <v>34</v>
      </c>
      <c r="H4" s="20">
        <v>30.19</v>
      </c>
      <c r="I4" s="20">
        <f t="shared" si="0"/>
        <v>30.19</v>
      </c>
    </row>
    <row r="5" spans="1:9" x14ac:dyDescent="0.2">
      <c r="A5" s="13"/>
      <c r="B5" s="11"/>
      <c r="C5" s="11"/>
      <c r="D5" s="11"/>
      <c r="E5" s="10"/>
      <c r="F5" s="9"/>
      <c r="G5" s="19" t="s">
        <v>35</v>
      </c>
      <c r="H5" s="20">
        <v>315.54000000000002</v>
      </c>
      <c r="I5" s="20">
        <f t="shared" si="0"/>
        <v>315.54000000000002</v>
      </c>
    </row>
    <row r="6" spans="1:9" x14ac:dyDescent="0.2">
      <c r="A6" s="13"/>
      <c r="B6" s="11"/>
      <c r="C6" s="11"/>
      <c r="D6" s="11"/>
      <c r="E6" s="10"/>
      <c r="F6" s="9"/>
      <c r="G6" s="19" t="s">
        <v>13</v>
      </c>
      <c r="H6" s="20">
        <v>725.44</v>
      </c>
      <c r="I6" s="20" t="str">
        <f t="shared" si="0"/>
        <v>Descartado</v>
      </c>
    </row>
    <row r="7" spans="1:9" x14ac:dyDescent="0.2">
      <c r="A7" s="13"/>
      <c r="B7" s="11"/>
      <c r="C7" s="11"/>
      <c r="D7" s="11"/>
      <c r="E7" s="10"/>
      <c r="F7" s="9"/>
      <c r="G7" s="19"/>
      <c r="H7" s="20"/>
      <c r="I7" s="20" t="str">
        <f t="shared" si="0"/>
        <v/>
      </c>
    </row>
    <row r="8" spans="1:9" x14ac:dyDescent="0.2">
      <c r="A8" s="13"/>
      <c r="B8" s="11"/>
      <c r="C8" s="11"/>
      <c r="D8" s="11"/>
      <c r="E8" s="10"/>
      <c r="F8" s="9"/>
      <c r="G8" s="19"/>
      <c r="H8" s="20"/>
      <c r="I8" s="20" t="str">
        <f t="shared" si="0"/>
        <v/>
      </c>
    </row>
    <row r="9" spans="1:9" x14ac:dyDescent="0.2">
      <c r="A9" s="13"/>
      <c r="B9" s="11"/>
      <c r="C9" s="11"/>
      <c r="D9" s="11"/>
      <c r="E9" s="10"/>
      <c r="F9" s="9"/>
      <c r="G9" s="19"/>
      <c r="H9" s="20"/>
      <c r="I9" s="20" t="str">
        <f t="shared" si="0"/>
        <v/>
      </c>
    </row>
    <row r="10" spans="1:9" x14ac:dyDescent="0.2">
      <c r="A10" s="13"/>
      <c r="B10" s="11"/>
      <c r="C10" s="11"/>
      <c r="D10" s="11"/>
      <c r="E10" s="10"/>
      <c r="F10" s="9"/>
      <c r="G10" s="19"/>
      <c r="H10" s="20"/>
      <c r="I10" s="20" t="str">
        <f t="shared" si="0"/>
        <v/>
      </c>
    </row>
    <row r="11" spans="1:9" x14ac:dyDescent="0.2">
      <c r="A11" s="13"/>
      <c r="B11" s="11"/>
      <c r="C11" s="11"/>
      <c r="D11" s="11"/>
      <c r="E11" s="10"/>
      <c r="F11" s="9"/>
      <c r="G11" s="19"/>
      <c r="H11" s="20"/>
      <c r="I11" s="20" t="str">
        <f t="shared" si="0"/>
        <v/>
      </c>
    </row>
    <row r="12" spans="1:9" x14ac:dyDescent="0.2">
      <c r="A12" s="13"/>
      <c r="B12" s="11"/>
      <c r="C12" s="11"/>
      <c r="D12" s="11"/>
      <c r="E12" s="10"/>
      <c r="F12" s="9"/>
      <c r="G12" s="19"/>
      <c r="H12" s="20"/>
      <c r="I12" s="20" t="str">
        <f t="shared" si="0"/>
        <v/>
      </c>
    </row>
    <row r="13" spans="1:9" x14ac:dyDescent="0.2">
      <c r="A13" s="13"/>
      <c r="B13" s="11"/>
      <c r="C13" s="11"/>
      <c r="D13" s="11"/>
      <c r="E13" s="10"/>
      <c r="F13" s="9"/>
      <c r="G13" s="19"/>
      <c r="H13" s="20"/>
      <c r="I13" s="20" t="str">
        <f t="shared" si="0"/>
        <v/>
      </c>
    </row>
    <row r="14" spans="1:9" x14ac:dyDescent="0.2">
      <c r="A14" s="13"/>
      <c r="B14" s="11"/>
      <c r="C14" s="11"/>
      <c r="D14" s="11"/>
      <c r="E14" s="10"/>
      <c r="F14" s="9"/>
      <c r="G14" s="19"/>
      <c r="H14" s="20"/>
      <c r="I14" s="20" t="str">
        <f t="shared" si="0"/>
        <v/>
      </c>
    </row>
    <row r="15" spans="1:9" x14ac:dyDescent="0.2">
      <c r="A15" s="13"/>
      <c r="B15" s="11"/>
      <c r="C15" s="11"/>
      <c r="D15" s="11"/>
      <c r="E15" s="10"/>
      <c r="F15" s="9"/>
      <c r="G15" s="19"/>
      <c r="H15" s="20"/>
      <c r="I15" s="20" t="str">
        <f t="shared" si="0"/>
        <v/>
      </c>
    </row>
    <row r="16" spans="1:9" x14ac:dyDescent="0.2">
      <c r="A16" s="13"/>
      <c r="B16" s="11"/>
      <c r="C16" s="11"/>
      <c r="D16" s="11"/>
      <c r="E16" s="10"/>
      <c r="F16" s="9"/>
      <c r="G16" s="19"/>
      <c r="H16" s="20"/>
      <c r="I16" s="20" t="str">
        <f t="shared" si="0"/>
        <v/>
      </c>
    </row>
    <row r="17" spans="1:9" x14ac:dyDescent="0.2">
      <c r="A17" s="13"/>
      <c r="B17" s="11"/>
      <c r="C17" s="11"/>
      <c r="D17" s="11"/>
      <c r="E17" s="10"/>
      <c r="F17" s="9"/>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291.33765214666874</v>
      </c>
      <c r="C20" s="33">
        <f>IF(H23&lt;2,"N/A",(B20/D20))</f>
        <v>0.88911230617970305</v>
      </c>
      <c r="D20" s="34">
        <f>AVERAGE(H3:H17)</f>
        <v>327.67250000000001</v>
      </c>
      <c r="E20" s="35">
        <f>IF(H23&lt;2,"N/A",(IF(C20&lt;=25%,"N/A",AVERAGE(I3:I17))))</f>
        <v>195.08333333333334</v>
      </c>
      <c r="F20" s="34">
        <f>MEDIAN(H3:H17)</f>
        <v>277.53000000000003</v>
      </c>
      <c r="G20" s="36"/>
      <c r="H20" s="37"/>
      <c r="I20" s="37"/>
    </row>
    <row r="21" spans="1:9" x14ac:dyDescent="0.2">
      <c r="A21" s="38"/>
      <c r="B21" s="39"/>
      <c r="C21" s="39"/>
      <c r="D21" s="39"/>
      <c r="E21" s="39"/>
      <c r="F21" s="39"/>
      <c r="G21" s="40"/>
      <c r="H21" s="40"/>
      <c r="I21" s="40"/>
    </row>
    <row r="22" spans="1:9" x14ac:dyDescent="0.2">
      <c r="B22" s="8" t="s">
        <v>19</v>
      </c>
      <c r="C22" s="8"/>
      <c r="D22" s="7">
        <f>IF(C20&lt;=25%,D20,MIN(E20:F20))</f>
        <v>195.08333333333334</v>
      </c>
      <c r="E22" s="7"/>
    </row>
    <row r="23" spans="1:9" x14ac:dyDescent="0.2">
      <c r="B23" s="8" t="s">
        <v>20</v>
      </c>
      <c r="C23" s="8"/>
      <c r="D23" s="7">
        <f>ROUND(D22,2)*F3</f>
        <v>19508</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36</v>
      </c>
      <c r="B2" s="12" t="s">
        <v>2</v>
      </c>
      <c r="C2" s="12"/>
      <c r="D2" s="12"/>
      <c r="E2" s="16" t="s">
        <v>3</v>
      </c>
      <c r="F2" s="16" t="s">
        <v>4</v>
      </c>
      <c r="G2" s="16" t="s">
        <v>5</v>
      </c>
      <c r="H2" s="17" t="s">
        <v>6</v>
      </c>
      <c r="I2" s="18" t="s">
        <v>7</v>
      </c>
    </row>
    <row r="3" spans="1:9" ht="12.75" customHeight="1" x14ac:dyDescent="0.2">
      <c r="A3" s="13"/>
      <c r="B3" s="11" t="s">
        <v>37</v>
      </c>
      <c r="C3" s="11"/>
      <c r="D3" s="11"/>
      <c r="E3" s="2" t="s">
        <v>9</v>
      </c>
      <c r="F3" s="9">
        <v>300</v>
      </c>
      <c r="G3" s="19" t="s">
        <v>10</v>
      </c>
      <c r="H3" s="20">
        <v>101.39</v>
      </c>
      <c r="I3" s="20">
        <f t="shared" ref="I3:I17" si="0">IF(H3="","",(IF($C$20&lt;25%,"N/A",IF(H3&lt;=($D$20+$B$20),H3,"Descartado"))))</f>
        <v>101.39</v>
      </c>
    </row>
    <row r="4" spans="1:9" x14ac:dyDescent="0.2">
      <c r="A4" s="13"/>
      <c r="B4" s="11"/>
      <c r="C4" s="11"/>
      <c r="D4" s="11"/>
      <c r="E4" s="2"/>
      <c r="F4" s="2"/>
      <c r="G4" s="19" t="s">
        <v>11</v>
      </c>
      <c r="H4" s="20">
        <v>83.31</v>
      </c>
      <c r="I4" s="20">
        <f t="shared" si="0"/>
        <v>83.31</v>
      </c>
    </row>
    <row r="5" spans="1:9" x14ac:dyDescent="0.2">
      <c r="A5" s="13"/>
      <c r="B5" s="11"/>
      <c r="C5" s="11"/>
      <c r="D5" s="11"/>
      <c r="E5" s="2"/>
      <c r="F5" s="2"/>
      <c r="G5" s="19" t="s">
        <v>31</v>
      </c>
      <c r="H5" s="20">
        <v>112.47</v>
      </c>
      <c r="I5" s="20">
        <f t="shared" si="0"/>
        <v>112.47</v>
      </c>
    </row>
    <row r="6" spans="1:9" x14ac:dyDescent="0.2">
      <c r="A6" s="13"/>
      <c r="B6" s="11"/>
      <c r="C6" s="11"/>
      <c r="D6" s="11"/>
      <c r="E6" s="2"/>
      <c r="F6" s="2"/>
      <c r="G6" s="19" t="s">
        <v>13</v>
      </c>
      <c r="H6" s="20">
        <v>304.32</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103.33295130305724</v>
      </c>
      <c r="C20" s="33">
        <f>IF(H23&lt;2,"N/A",(B20/D20))</f>
        <v>0.68717984540429433</v>
      </c>
      <c r="D20" s="34">
        <f>AVERAGE(H3:H17)</f>
        <v>150.3725</v>
      </c>
      <c r="E20" s="35">
        <f>IF(H23&lt;2,"N/A",(IF(C20&lt;=25%,"N/A",AVERAGE(I3:I17))))</f>
        <v>99.056666666666658</v>
      </c>
      <c r="F20" s="34">
        <f>MEDIAN(H3:H17)</f>
        <v>106.93</v>
      </c>
      <c r="G20" s="36"/>
      <c r="H20" s="37"/>
      <c r="I20" s="37"/>
    </row>
    <row r="21" spans="1:9" x14ac:dyDescent="0.2">
      <c r="A21" s="38"/>
      <c r="B21" s="39"/>
      <c r="C21" s="39"/>
      <c r="D21" s="39"/>
      <c r="E21" s="39"/>
      <c r="F21" s="39"/>
      <c r="G21" s="40"/>
      <c r="H21" s="40"/>
      <c r="I21" s="40"/>
    </row>
    <row r="22" spans="1:9" x14ac:dyDescent="0.2">
      <c r="B22" s="8" t="s">
        <v>19</v>
      </c>
      <c r="C22" s="8"/>
      <c r="D22" s="7">
        <f>IF(C20&lt;=25%,D20,MIN(E20:F20))</f>
        <v>99.056666666666658</v>
      </c>
      <c r="E22" s="7"/>
    </row>
    <row r="23" spans="1:9" x14ac:dyDescent="0.2">
      <c r="B23" s="8" t="s">
        <v>20</v>
      </c>
      <c r="C23" s="8"/>
      <c r="D23" s="7">
        <f>ROUND(D22,2)*F3</f>
        <v>29718</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38</v>
      </c>
      <c r="B2" s="12" t="s">
        <v>2</v>
      </c>
      <c r="C2" s="12"/>
      <c r="D2" s="12"/>
      <c r="E2" s="16" t="s">
        <v>3</v>
      </c>
      <c r="F2" s="16" t="s">
        <v>4</v>
      </c>
      <c r="G2" s="16" t="s">
        <v>5</v>
      </c>
      <c r="H2" s="17" t="s">
        <v>6</v>
      </c>
      <c r="I2" s="18" t="s">
        <v>7</v>
      </c>
    </row>
    <row r="3" spans="1:9" ht="12.75" customHeight="1" x14ac:dyDescent="0.2">
      <c r="A3" s="13"/>
      <c r="B3" s="11" t="s">
        <v>39</v>
      </c>
      <c r="C3" s="11"/>
      <c r="D3" s="11"/>
      <c r="E3" s="2" t="s">
        <v>9</v>
      </c>
      <c r="F3" s="9">
        <v>125</v>
      </c>
      <c r="G3" s="19" t="s">
        <v>10</v>
      </c>
      <c r="H3" s="20">
        <v>161.19999999999999</v>
      </c>
      <c r="I3" s="20">
        <f t="shared" ref="I3:I17" si="0">IF(H3="","",(IF($C$20&lt;25%,"N/A",IF(H3&lt;=($D$20+$B$20),H3,"Descartado"))))</f>
        <v>161.19999999999999</v>
      </c>
    </row>
    <row r="4" spans="1:9" x14ac:dyDescent="0.2">
      <c r="A4" s="13"/>
      <c r="B4" s="11"/>
      <c r="C4" s="11"/>
      <c r="D4" s="11"/>
      <c r="E4" s="2"/>
      <c r="F4" s="2"/>
      <c r="G4" s="19" t="s">
        <v>11</v>
      </c>
      <c r="H4" s="20">
        <v>145.79</v>
      </c>
      <c r="I4" s="20">
        <f t="shared" si="0"/>
        <v>145.79</v>
      </c>
    </row>
    <row r="5" spans="1:9" x14ac:dyDescent="0.2">
      <c r="A5" s="13"/>
      <c r="B5" s="11"/>
      <c r="C5" s="11"/>
      <c r="D5" s="11"/>
      <c r="E5" s="2"/>
      <c r="F5" s="2"/>
      <c r="G5" s="19" t="s">
        <v>31</v>
      </c>
      <c r="H5" s="20">
        <v>210.58</v>
      </c>
      <c r="I5" s="20">
        <f t="shared" si="0"/>
        <v>210.58</v>
      </c>
    </row>
    <row r="6" spans="1:9" x14ac:dyDescent="0.2">
      <c r="A6" s="13"/>
      <c r="B6" s="11"/>
      <c r="C6" s="11"/>
      <c r="D6" s="11"/>
      <c r="E6" s="2"/>
      <c r="F6" s="2"/>
      <c r="G6" s="19" t="s">
        <v>13</v>
      </c>
      <c r="H6" s="20">
        <v>419.48</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126.53312514252281</v>
      </c>
      <c r="C20" s="33">
        <f>IF(H23&lt;2,"N/A",(B20/D20))</f>
        <v>0.54013393156191369</v>
      </c>
      <c r="D20" s="34">
        <f>AVERAGE(H3:H17)</f>
        <v>234.26250000000002</v>
      </c>
      <c r="E20" s="35">
        <f>IF(H23&lt;2,"N/A",(IF(C20&lt;=25%,"N/A",AVERAGE(I3:I17))))</f>
        <v>172.52333333333334</v>
      </c>
      <c r="F20" s="34">
        <f>MEDIAN(H3:H17)</f>
        <v>185.89</v>
      </c>
      <c r="G20" s="36"/>
      <c r="H20" s="37"/>
      <c r="I20" s="37"/>
    </row>
    <row r="21" spans="1:9" x14ac:dyDescent="0.2">
      <c r="A21" s="38"/>
      <c r="B21" s="39"/>
      <c r="C21" s="39"/>
      <c r="D21" s="39"/>
      <c r="E21" s="39"/>
      <c r="F21" s="39"/>
      <c r="G21" s="40"/>
      <c r="H21" s="40"/>
      <c r="I21" s="40"/>
    </row>
    <row r="22" spans="1:9" x14ac:dyDescent="0.2">
      <c r="B22" s="8" t="s">
        <v>19</v>
      </c>
      <c r="C22" s="8"/>
      <c r="D22" s="7">
        <f>IF(C20&lt;=25%,D20,MIN(E20:F20))</f>
        <v>172.52333333333334</v>
      </c>
      <c r="E22" s="7"/>
    </row>
    <row r="23" spans="1:9" x14ac:dyDescent="0.2">
      <c r="B23" s="8" t="s">
        <v>20</v>
      </c>
      <c r="C23" s="8"/>
      <c r="D23" s="7">
        <f>ROUND(D22,2)*F3</f>
        <v>21565</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40</v>
      </c>
      <c r="B2" s="12" t="s">
        <v>2</v>
      </c>
      <c r="C2" s="12"/>
      <c r="D2" s="12"/>
      <c r="E2" s="16" t="s">
        <v>3</v>
      </c>
      <c r="F2" s="16" t="s">
        <v>4</v>
      </c>
      <c r="G2" s="16" t="s">
        <v>5</v>
      </c>
      <c r="H2" s="17" t="s">
        <v>6</v>
      </c>
      <c r="I2" s="18" t="s">
        <v>7</v>
      </c>
    </row>
    <row r="3" spans="1:9" ht="12.75" customHeight="1" x14ac:dyDescent="0.2">
      <c r="A3" s="13"/>
      <c r="B3" s="11" t="s">
        <v>41</v>
      </c>
      <c r="C3" s="11"/>
      <c r="D3" s="11"/>
      <c r="E3" s="2" t="s">
        <v>9</v>
      </c>
      <c r="F3" s="9">
        <v>50</v>
      </c>
      <c r="G3" s="19" t="s">
        <v>13</v>
      </c>
      <c r="H3" s="20">
        <v>1249.97</v>
      </c>
      <c r="I3" s="20" t="e">
        <f t="shared" ref="I3:I17" si="0">IF(H3="","",(IF($C$20&lt;25%,"N/A",IF(H3&lt;=($D$20+$B$20),H3,"Descartado"))))</f>
        <v>#VALUE!</v>
      </c>
    </row>
    <row r="4" spans="1:9" x14ac:dyDescent="0.2">
      <c r="A4" s="13"/>
      <c r="B4" s="11"/>
      <c r="C4" s="11"/>
      <c r="D4" s="11"/>
      <c r="E4" s="2"/>
      <c r="F4" s="2"/>
      <c r="G4" s="19"/>
      <c r="H4" s="20"/>
      <c r="I4" s="20" t="str">
        <f t="shared" si="0"/>
        <v/>
      </c>
    </row>
    <row r="5" spans="1:9" x14ac:dyDescent="0.2">
      <c r="A5" s="13"/>
      <c r="B5" s="11"/>
      <c r="C5" s="11"/>
      <c r="D5" s="11"/>
      <c r="E5" s="2"/>
      <c r="F5" s="2"/>
      <c r="G5" s="19"/>
      <c r="H5" s="20"/>
      <c r="I5" s="20" t="str">
        <f t="shared" si="0"/>
        <v/>
      </c>
    </row>
    <row r="6" spans="1:9" x14ac:dyDescent="0.2">
      <c r="A6" s="13"/>
      <c r="B6" s="11"/>
      <c r="C6" s="11"/>
      <c r="D6" s="11"/>
      <c r="E6" s="2"/>
      <c r="F6" s="2"/>
      <c r="G6" s="19"/>
      <c r="H6" s="20"/>
      <c r="I6" s="20" t="str">
        <f t="shared" si="0"/>
        <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t="str">
        <f>IF(H23&lt;2,"N/A",(STDEV(H3:H17)))</f>
        <v>N/A</v>
      </c>
      <c r="C20" s="33" t="str">
        <f>IF(H23&lt;2,"N/A",(B20/D20))</f>
        <v>N/A</v>
      </c>
      <c r="D20" s="34">
        <f>AVERAGE(H3:H17)</f>
        <v>1249.97</v>
      </c>
      <c r="E20" s="35" t="str">
        <f>IF(H23&lt;2,"N/A",(IF(C20&lt;=25%,"N/A",AVERAGE(I3:I17))))</f>
        <v>N/A</v>
      </c>
      <c r="F20" s="34">
        <f>MEDIAN(H3:H17)</f>
        <v>1249.97</v>
      </c>
      <c r="G20" s="36"/>
      <c r="H20" s="37"/>
      <c r="I20" s="37"/>
    </row>
    <row r="21" spans="1:9" x14ac:dyDescent="0.2">
      <c r="A21" s="38"/>
      <c r="B21" s="39"/>
      <c r="C21" s="39"/>
      <c r="D21" s="39"/>
      <c r="E21" s="39"/>
      <c r="F21" s="39"/>
      <c r="G21" s="40"/>
      <c r="H21" s="40"/>
      <c r="I21" s="40"/>
    </row>
    <row r="22" spans="1:9" x14ac:dyDescent="0.2">
      <c r="B22" s="8" t="s">
        <v>19</v>
      </c>
      <c r="C22" s="8"/>
      <c r="D22" s="7">
        <f>IF(C20&lt;=25%,D20,MIN(E20:F20))</f>
        <v>1249.97</v>
      </c>
      <c r="E22" s="7"/>
    </row>
    <row r="23" spans="1:9" x14ac:dyDescent="0.2">
      <c r="B23" s="8" t="s">
        <v>20</v>
      </c>
      <c r="C23" s="8"/>
      <c r="D23" s="7">
        <f>ROUND(D22,2)*F3</f>
        <v>62498.5</v>
      </c>
      <c r="E23" s="7"/>
      <c r="G23" s="41" t="s">
        <v>21</v>
      </c>
      <c r="H23" s="42">
        <f>COUNT(H3:H17)</f>
        <v>1</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42</v>
      </c>
      <c r="B2" s="12" t="s">
        <v>2</v>
      </c>
      <c r="C2" s="12"/>
      <c r="D2" s="12"/>
      <c r="E2" s="16" t="s">
        <v>3</v>
      </c>
      <c r="F2" s="16" t="s">
        <v>4</v>
      </c>
      <c r="G2" s="16" t="s">
        <v>5</v>
      </c>
      <c r="H2" s="17" t="s">
        <v>6</v>
      </c>
      <c r="I2" s="18" t="s">
        <v>7</v>
      </c>
    </row>
    <row r="3" spans="1:9" ht="12.75" customHeight="1" x14ac:dyDescent="0.2">
      <c r="A3" s="13"/>
      <c r="B3" s="11" t="s">
        <v>43</v>
      </c>
      <c r="C3" s="11"/>
      <c r="D3" s="11"/>
      <c r="E3" s="2" t="s">
        <v>9</v>
      </c>
      <c r="F3" s="9">
        <v>1000</v>
      </c>
      <c r="G3" s="19" t="s">
        <v>12</v>
      </c>
      <c r="H3" s="20">
        <v>21.86</v>
      </c>
      <c r="I3" s="20">
        <f t="shared" ref="I3:I17" si="0">IF(H3="","",(IF($C$20&lt;25%,"N/A",IF(H3&lt;=($D$20+$B$20),H3,"Descartado"))))</f>
        <v>21.86</v>
      </c>
    </row>
    <row r="4" spans="1:9" x14ac:dyDescent="0.2">
      <c r="A4" s="13"/>
      <c r="B4" s="11"/>
      <c r="C4" s="11"/>
      <c r="D4" s="11"/>
      <c r="E4" s="2"/>
      <c r="F4" s="2"/>
      <c r="G4" s="19" t="s">
        <v>44</v>
      </c>
      <c r="H4" s="20">
        <v>15.88</v>
      </c>
      <c r="I4" s="20">
        <f t="shared" si="0"/>
        <v>15.88</v>
      </c>
    </row>
    <row r="5" spans="1:9" x14ac:dyDescent="0.2">
      <c r="A5" s="13"/>
      <c r="B5" s="11"/>
      <c r="C5" s="11"/>
      <c r="D5" s="11"/>
      <c r="E5" s="2"/>
      <c r="F5" s="2"/>
      <c r="G5" s="19" t="s">
        <v>45</v>
      </c>
      <c r="H5" s="20">
        <v>26.97</v>
      </c>
      <c r="I5" s="20">
        <f t="shared" si="0"/>
        <v>26.97</v>
      </c>
    </row>
    <row r="6" spans="1:9" x14ac:dyDescent="0.2">
      <c r="A6" s="13"/>
      <c r="B6" s="11"/>
      <c r="C6" s="11"/>
      <c r="D6" s="11"/>
      <c r="E6" s="2"/>
      <c r="F6" s="2"/>
      <c r="G6" s="19"/>
      <c r="H6" s="20"/>
      <c r="I6" s="20" t="str">
        <f t="shared" si="0"/>
        <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5.5506846424562521</v>
      </c>
      <c r="C20" s="33">
        <f>IF(H23&lt;2,"N/A",(B20/D20))</f>
        <v>0.25733354856079049</v>
      </c>
      <c r="D20" s="34">
        <f>AVERAGE(H3:H17)</f>
        <v>21.570000000000004</v>
      </c>
      <c r="E20" s="35">
        <f>IF(H23&lt;2,"N/A",(IF(C20&lt;=25%,"N/A",AVERAGE(I3:I17))))</f>
        <v>21.570000000000004</v>
      </c>
      <c r="F20" s="34">
        <f>MEDIAN(H3:H17)</f>
        <v>21.86</v>
      </c>
      <c r="G20" s="36"/>
      <c r="H20" s="37"/>
      <c r="I20" s="37"/>
    </row>
    <row r="21" spans="1:9" x14ac:dyDescent="0.2">
      <c r="A21" s="38"/>
      <c r="B21" s="39"/>
      <c r="C21" s="39"/>
      <c r="D21" s="39"/>
      <c r="E21" s="39"/>
      <c r="F21" s="39"/>
      <c r="G21" s="40"/>
      <c r="H21" s="40"/>
      <c r="I21" s="40"/>
    </row>
    <row r="22" spans="1:9" x14ac:dyDescent="0.2">
      <c r="B22" s="8" t="s">
        <v>19</v>
      </c>
      <c r="C22" s="8"/>
      <c r="D22" s="7">
        <f>IF(C20&lt;=25%,D20,MIN(E20:F20))</f>
        <v>21.570000000000004</v>
      </c>
      <c r="E22" s="7"/>
    </row>
    <row r="23" spans="1:9" x14ac:dyDescent="0.2">
      <c r="B23" s="8" t="s">
        <v>20</v>
      </c>
      <c r="C23" s="8"/>
      <c r="D23" s="7">
        <f>ROUND(D22,2)*F3</f>
        <v>21570</v>
      </c>
      <c r="E23" s="7"/>
      <c r="G23" s="41" t="s">
        <v>21</v>
      </c>
      <c r="H23" s="42">
        <f>COUNT(H3:H17)</f>
        <v>3</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46</v>
      </c>
      <c r="B2" s="12" t="s">
        <v>2</v>
      </c>
      <c r="C2" s="12"/>
      <c r="D2" s="12"/>
      <c r="E2" s="16" t="s">
        <v>3</v>
      </c>
      <c r="F2" s="16" t="s">
        <v>4</v>
      </c>
      <c r="G2" s="16" t="s">
        <v>5</v>
      </c>
      <c r="H2" s="17" t="s">
        <v>6</v>
      </c>
      <c r="I2" s="18" t="s">
        <v>7</v>
      </c>
    </row>
    <row r="3" spans="1:9" ht="12.75" customHeight="1" x14ac:dyDescent="0.2">
      <c r="A3" s="13"/>
      <c r="B3" s="11" t="s">
        <v>47</v>
      </c>
      <c r="C3" s="11"/>
      <c r="D3" s="11"/>
      <c r="E3" s="2" t="s">
        <v>9</v>
      </c>
      <c r="F3" s="9">
        <v>50</v>
      </c>
      <c r="G3" s="19" t="s">
        <v>11</v>
      </c>
      <c r="H3" s="20">
        <v>36.450000000000003</v>
      </c>
      <c r="I3" s="20">
        <f t="shared" ref="I3:I17" si="0">IF(H3="","",(IF($C$20&lt;25%,"N/A",IF(H3&lt;=($D$20+$B$20),H3,"Descartado"))))</f>
        <v>36.450000000000003</v>
      </c>
    </row>
    <row r="4" spans="1:9" x14ac:dyDescent="0.2">
      <c r="A4" s="13"/>
      <c r="B4" s="11"/>
      <c r="C4" s="11"/>
      <c r="D4" s="11"/>
      <c r="E4" s="2"/>
      <c r="F4" s="2"/>
      <c r="G4" s="19" t="s">
        <v>12</v>
      </c>
      <c r="H4" s="20">
        <v>34.35</v>
      </c>
      <c r="I4" s="20">
        <f t="shared" si="0"/>
        <v>34.35</v>
      </c>
    </row>
    <row r="5" spans="1:9" x14ac:dyDescent="0.2">
      <c r="A5" s="13"/>
      <c r="B5" s="11"/>
      <c r="C5" s="11"/>
      <c r="D5" s="11"/>
      <c r="E5" s="2"/>
      <c r="F5" s="2"/>
      <c r="G5" s="19" t="s">
        <v>44</v>
      </c>
      <c r="H5" s="20">
        <v>20.83</v>
      </c>
      <c r="I5" s="20">
        <f t="shared" si="0"/>
        <v>20.83</v>
      </c>
    </row>
    <row r="6" spans="1:9" x14ac:dyDescent="0.2">
      <c r="A6" s="13"/>
      <c r="B6" s="11"/>
      <c r="C6" s="11"/>
      <c r="D6" s="11"/>
      <c r="E6" s="2"/>
      <c r="F6" s="2"/>
      <c r="G6" s="19"/>
      <c r="H6" s="20"/>
      <c r="I6" s="20" t="str">
        <f t="shared" si="0"/>
        <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8.4772715736452167</v>
      </c>
      <c r="C20" s="33">
        <f>IF(H23&lt;2,"N/A",(B20/D20))</f>
        <v>0.27754899837319269</v>
      </c>
      <c r="D20" s="34">
        <f>AVERAGE(H3:H17)</f>
        <v>30.543333333333337</v>
      </c>
      <c r="E20" s="35">
        <f>IF(H23&lt;2,"N/A",(IF(C20&lt;=25%,"N/A",AVERAGE(I3:I17))))</f>
        <v>30.543333333333337</v>
      </c>
      <c r="F20" s="34">
        <f>MEDIAN(H3:H17)</f>
        <v>34.35</v>
      </c>
      <c r="G20" s="36"/>
      <c r="H20" s="37"/>
      <c r="I20" s="37"/>
    </row>
    <row r="21" spans="1:9" x14ac:dyDescent="0.2">
      <c r="A21" s="38"/>
      <c r="B21" s="39"/>
      <c r="C21" s="39"/>
      <c r="D21" s="39"/>
      <c r="E21" s="39"/>
      <c r="F21" s="39"/>
      <c r="G21" s="40"/>
      <c r="H21" s="40"/>
      <c r="I21" s="40"/>
    </row>
    <row r="22" spans="1:9" x14ac:dyDescent="0.2">
      <c r="B22" s="8" t="s">
        <v>19</v>
      </c>
      <c r="C22" s="8"/>
      <c r="D22" s="7">
        <f>IF(C20&lt;=25%,D20,MIN(E20:F20))</f>
        <v>30.543333333333337</v>
      </c>
      <c r="E22" s="7"/>
    </row>
    <row r="23" spans="1:9" x14ac:dyDescent="0.2">
      <c r="B23" s="8" t="s">
        <v>20</v>
      </c>
      <c r="C23" s="8"/>
      <c r="D23" s="7">
        <f>ROUND(D22,2)*F3</f>
        <v>1527</v>
      </c>
      <c r="E23" s="7"/>
      <c r="G23" s="41" t="s">
        <v>21</v>
      </c>
      <c r="H23" s="42">
        <f>COUNT(H3:H17)</f>
        <v>3</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32"/>
  <sheetViews>
    <sheetView zoomScaleNormal="100" workbookViewId="0">
      <selection activeCell="E3" sqref="E3"/>
    </sheetView>
  </sheetViews>
  <sheetFormatPr defaultColWidth="9.140625" defaultRowHeight="12.75" x14ac:dyDescent="0.2"/>
  <cols>
    <col min="1" max="1" width="11.85546875" style="15" customWidth="1"/>
    <col min="2" max="3" width="9.140625" style="15"/>
    <col min="4" max="4" width="10.28515625" style="15" customWidth="1"/>
    <col min="5" max="5" width="9.140625" style="15"/>
    <col min="6" max="6" width="10.28515625" style="15" customWidth="1"/>
    <col min="7" max="7" width="39.28515625" style="15" customWidth="1"/>
    <col min="8" max="9" width="10.28515625" style="15" customWidth="1"/>
    <col min="10" max="1025" width="9.140625" style="15"/>
  </cols>
  <sheetData>
    <row r="1" spans="1:9" ht="15.75" x14ac:dyDescent="0.25">
      <c r="A1" s="14" t="s">
        <v>0</v>
      </c>
      <c r="B1" s="14"/>
      <c r="C1" s="14"/>
      <c r="D1" s="14"/>
      <c r="E1" s="14"/>
      <c r="F1" s="14"/>
      <c r="G1" s="14"/>
      <c r="H1" s="14"/>
      <c r="I1" s="14"/>
    </row>
    <row r="2" spans="1:9" x14ac:dyDescent="0.2">
      <c r="A2" s="13" t="s">
        <v>48</v>
      </c>
      <c r="B2" s="12" t="s">
        <v>2</v>
      </c>
      <c r="C2" s="12"/>
      <c r="D2" s="12"/>
      <c r="E2" s="16" t="s">
        <v>3</v>
      </c>
      <c r="F2" s="16" t="s">
        <v>4</v>
      </c>
      <c r="G2" s="16" t="s">
        <v>5</v>
      </c>
      <c r="H2" s="17" t="s">
        <v>6</v>
      </c>
      <c r="I2" s="18" t="s">
        <v>7</v>
      </c>
    </row>
    <row r="3" spans="1:9" ht="12.75" customHeight="1" x14ac:dyDescent="0.2">
      <c r="A3" s="13"/>
      <c r="B3" s="11" t="s">
        <v>49</v>
      </c>
      <c r="C3" s="11"/>
      <c r="D3" s="11"/>
      <c r="E3" s="2" t="s">
        <v>9</v>
      </c>
      <c r="F3" s="9">
        <v>750</v>
      </c>
      <c r="G3" s="19" t="s">
        <v>11</v>
      </c>
      <c r="H3" s="20">
        <v>38.53</v>
      </c>
      <c r="I3" s="20">
        <f t="shared" ref="I3:I17" si="0">IF(H3="","",(IF($C$20&lt;25%,"N/A",IF(H3&lt;=($D$20+$B$20),H3,"Descartado"))))</f>
        <v>38.53</v>
      </c>
    </row>
    <row r="4" spans="1:9" x14ac:dyDescent="0.2">
      <c r="A4" s="13"/>
      <c r="B4" s="11"/>
      <c r="C4" s="11"/>
      <c r="D4" s="11"/>
      <c r="E4" s="2"/>
      <c r="F4" s="2"/>
      <c r="G4" s="19" t="s">
        <v>50</v>
      </c>
      <c r="H4" s="20">
        <v>38.520000000000003</v>
      </c>
      <c r="I4" s="20">
        <f t="shared" si="0"/>
        <v>38.520000000000003</v>
      </c>
    </row>
    <row r="5" spans="1:9" x14ac:dyDescent="0.2">
      <c r="A5" s="13"/>
      <c r="B5" s="11"/>
      <c r="C5" s="11"/>
      <c r="D5" s="11"/>
      <c r="E5" s="2"/>
      <c r="F5" s="2"/>
      <c r="G5" s="19" t="s">
        <v>51</v>
      </c>
      <c r="H5" s="20">
        <v>57.27</v>
      </c>
      <c r="I5" s="20">
        <f t="shared" si="0"/>
        <v>57.27</v>
      </c>
    </row>
    <row r="6" spans="1:9" x14ac:dyDescent="0.2">
      <c r="A6" s="13"/>
      <c r="B6" s="11"/>
      <c r="C6" s="11"/>
      <c r="D6" s="11"/>
      <c r="E6" s="2"/>
      <c r="F6" s="2"/>
      <c r="G6" s="19" t="s">
        <v>13</v>
      </c>
      <c r="H6" s="20">
        <v>406.79</v>
      </c>
      <c r="I6" s="20" t="str">
        <f t="shared" si="0"/>
        <v>Descartado</v>
      </c>
    </row>
    <row r="7" spans="1:9" x14ac:dyDescent="0.2">
      <c r="A7" s="13"/>
      <c r="B7" s="11"/>
      <c r="C7" s="11"/>
      <c r="D7" s="11"/>
      <c r="E7" s="2"/>
      <c r="F7" s="2"/>
      <c r="G7" s="19"/>
      <c r="H7" s="20"/>
      <c r="I7" s="20" t="str">
        <f t="shared" si="0"/>
        <v/>
      </c>
    </row>
    <row r="8" spans="1:9" x14ac:dyDescent="0.2">
      <c r="A8" s="13"/>
      <c r="B8" s="11"/>
      <c r="C8" s="11"/>
      <c r="D8" s="11"/>
      <c r="E8" s="2"/>
      <c r="F8" s="2"/>
      <c r="G8" s="19"/>
      <c r="H8" s="20"/>
      <c r="I8" s="20" t="str">
        <f t="shared" si="0"/>
        <v/>
      </c>
    </row>
    <row r="9" spans="1:9" x14ac:dyDescent="0.2">
      <c r="A9" s="13"/>
      <c r="B9" s="11"/>
      <c r="C9" s="11"/>
      <c r="D9" s="11"/>
      <c r="E9" s="2"/>
      <c r="F9" s="2"/>
      <c r="G9" s="19"/>
      <c r="H9" s="20"/>
      <c r="I9" s="20" t="str">
        <f t="shared" si="0"/>
        <v/>
      </c>
    </row>
    <row r="10" spans="1:9" x14ac:dyDescent="0.2">
      <c r="A10" s="13"/>
      <c r="B10" s="11"/>
      <c r="C10" s="11"/>
      <c r="D10" s="11"/>
      <c r="E10" s="2"/>
      <c r="F10" s="2"/>
      <c r="G10" s="19"/>
      <c r="H10" s="20"/>
      <c r="I10" s="20" t="str">
        <f t="shared" si="0"/>
        <v/>
      </c>
    </row>
    <row r="11" spans="1:9" x14ac:dyDescent="0.2">
      <c r="A11" s="13"/>
      <c r="B11" s="11"/>
      <c r="C11" s="11"/>
      <c r="D11" s="11"/>
      <c r="E11" s="2"/>
      <c r="F11" s="2"/>
      <c r="G11" s="19"/>
      <c r="H11" s="20"/>
      <c r="I11" s="20" t="str">
        <f t="shared" si="0"/>
        <v/>
      </c>
    </row>
    <row r="12" spans="1:9" x14ac:dyDescent="0.2">
      <c r="A12" s="13"/>
      <c r="B12" s="11"/>
      <c r="C12" s="11"/>
      <c r="D12" s="11"/>
      <c r="E12" s="2"/>
      <c r="F12" s="2"/>
      <c r="G12" s="19"/>
      <c r="H12" s="20"/>
      <c r="I12" s="20" t="str">
        <f t="shared" si="0"/>
        <v/>
      </c>
    </row>
    <row r="13" spans="1:9" x14ac:dyDescent="0.2">
      <c r="A13" s="13"/>
      <c r="B13" s="11"/>
      <c r="C13" s="11"/>
      <c r="D13" s="11"/>
      <c r="E13" s="2"/>
      <c r="F13" s="2"/>
      <c r="G13" s="19"/>
      <c r="H13" s="20"/>
      <c r="I13" s="20" t="str">
        <f t="shared" si="0"/>
        <v/>
      </c>
    </row>
    <row r="14" spans="1:9" x14ac:dyDescent="0.2">
      <c r="A14" s="13"/>
      <c r="B14" s="11"/>
      <c r="C14" s="11"/>
      <c r="D14" s="11"/>
      <c r="E14" s="2"/>
      <c r="F14" s="2"/>
      <c r="G14" s="19"/>
      <c r="H14" s="20"/>
      <c r="I14" s="20" t="str">
        <f t="shared" si="0"/>
        <v/>
      </c>
    </row>
    <row r="15" spans="1:9" x14ac:dyDescent="0.2">
      <c r="A15" s="13"/>
      <c r="B15" s="11"/>
      <c r="C15" s="11"/>
      <c r="D15" s="11"/>
      <c r="E15" s="2"/>
      <c r="F15" s="2"/>
      <c r="G15" s="19"/>
      <c r="H15" s="20"/>
      <c r="I15" s="20" t="str">
        <f t="shared" si="0"/>
        <v/>
      </c>
    </row>
    <row r="16" spans="1:9" x14ac:dyDescent="0.2">
      <c r="A16" s="13"/>
      <c r="B16" s="11"/>
      <c r="C16" s="11"/>
      <c r="D16" s="11"/>
      <c r="E16" s="2"/>
      <c r="F16" s="2"/>
      <c r="G16" s="19"/>
      <c r="H16" s="20"/>
      <c r="I16" s="20" t="str">
        <f t="shared" si="0"/>
        <v/>
      </c>
    </row>
    <row r="17" spans="1:9" x14ac:dyDescent="0.2">
      <c r="A17" s="13"/>
      <c r="B17" s="11"/>
      <c r="C17" s="11"/>
      <c r="D17" s="11"/>
      <c r="E17" s="2"/>
      <c r="F17" s="2"/>
      <c r="G17" s="19"/>
      <c r="H17" s="20"/>
      <c r="I17" s="20" t="str">
        <f t="shared" si="0"/>
        <v/>
      </c>
    </row>
    <row r="18" spans="1:9" x14ac:dyDescent="0.2">
      <c r="A18" s="21"/>
      <c r="B18" s="22"/>
      <c r="C18" s="22"/>
      <c r="D18" s="22"/>
      <c r="E18" s="23"/>
      <c r="F18" s="23"/>
      <c r="G18" s="24"/>
      <c r="H18" s="25"/>
      <c r="I18" s="25"/>
    </row>
    <row r="19" spans="1:9" ht="38.25" x14ac:dyDescent="0.2">
      <c r="A19" s="26"/>
      <c r="B19" s="17" t="s">
        <v>14</v>
      </c>
      <c r="C19" s="17" t="s">
        <v>15</v>
      </c>
      <c r="D19" s="27" t="s">
        <v>16</v>
      </c>
      <c r="E19" s="28" t="s">
        <v>17</v>
      </c>
      <c r="F19" s="27" t="s">
        <v>18</v>
      </c>
      <c r="G19" s="29"/>
      <c r="H19" s="30"/>
      <c r="I19" s="30"/>
    </row>
    <row r="20" spans="1:9" x14ac:dyDescent="0.2">
      <c r="A20" s="31"/>
      <c r="B20" s="32">
        <f>IF(H23&lt;2,"N/A",(STDEV(H3:H17)))</f>
        <v>181.22389492466681</v>
      </c>
      <c r="C20" s="33">
        <f>IF(H23&lt;2,"N/A",(B20/D20))</f>
        <v>1.3396455059020664</v>
      </c>
      <c r="D20" s="34">
        <f>AVERAGE(H3:H17)</f>
        <v>135.2775</v>
      </c>
      <c r="E20" s="35">
        <f>IF(H23&lt;2,"N/A",(IF(C20&lt;=25%,"N/A",AVERAGE(I3:I17))))</f>
        <v>44.773333333333341</v>
      </c>
      <c r="F20" s="34">
        <f>MEDIAN(H3:H17)</f>
        <v>47.900000000000006</v>
      </c>
      <c r="G20" s="36"/>
      <c r="H20" s="37"/>
      <c r="I20" s="37"/>
    </row>
    <row r="21" spans="1:9" x14ac:dyDescent="0.2">
      <c r="A21" s="38"/>
      <c r="B21" s="39"/>
      <c r="C21" s="39"/>
      <c r="D21" s="39"/>
      <c r="E21" s="39"/>
      <c r="F21" s="39"/>
      <c r="G21" s="40"/>
      <c r="H21" s="40"/>
      <c r="I21" s="40"/>
    </row>
    <row r="22" spans="1:9" x14ac:dyDescent="0.2">
      <c r="B22" s="8" t="s">
        <v>19</v>
      </c>
      <c r="C22" s="8"/>
      <c r="D22" s="7">
        <f>IF(C20&lt;=25%,D20,MIN(E20:F20))</f>
        <v>44.773333333333341</v>
      </c>
      <c r="E22" s="7"/>
    </row>
    <row r="23" spans="1:9" x14ac:dyDescent="0.2">
      <c r="B23" s="8" t="s">
        <v>20</v>
      </c>
      <c r="C23" s="8"/>
      <c r="D23" s="7">
        <f>ROUND(D22,2)*F3</f>
        <v>33577.5</v>
      </c>
      <c r="E23" s="7"/>
      <c r="G23" s="41" t="s">
        <v>21</v>
      </c>
      <c r="H23" s="42">
        <f>COUNT(H3:H17)</f>
        <v>4</v>
      </c>
    </row>
    <row r="24" spans="1:9" x14ac:dyDescent="0.2">
      <c r="B24" s="43"/>
      <c r="C24" s="43"/>
      <c r="D24" s="37"/>
      <c r="E24" s="37"/>
    </row>
    <row r="26" spans="1:9" x14ac:dyDescent="0.2">
      <c r="A26" s="6" t="s">
        <v>22</v>
      </c>
      <c r="B26" s="6"/>
      <c r="C26" s="6"/>
      <c r="D26" s="6"/>
      <c r="E26" s="6"/>
      <c r="F26" s="6"/>
      <c r="G26" s="6"/>
      <c r="H26" s="6"/>
      <c r="I26" s="6"/>
    </row>
    <row r="27" spans="1:9" x14ac:dyDescent="0.2">
      <c r="A27" s="5" t="s">
        <v>23</v>
      </c>
      <c r="B27" s="5"/>
      <c r="C27" s="5"/>
      <c r="D27" s="5"/>
      <c r="E27" s="5"/>
      <c r="F27" s="5"/>
      <c r="G27" s="5"/>
      <c r="H27" s="5"/>
      <c r="I27" s="5"/>
    </row>
    <row r="28" spans="1:9" x14ac:dyDescent="0.2">
      <c r="A28" s="5" t="s">
        <v>24</v>
      </c>
      <c r="B28" s="5"/>
      <c r="C28" s="5"/>
      <c r="D28" s="5"/>
      <c r="E28" s="5"/>
      <c r="F28" s="5"/>
      <c r="G28" s="5"/>
      <c r="H28" s="5"/>
      <c r="I28" s="5"/>
    </row>
    <row r="29" spans="1:9" ht="25.5" customHeight="1" x14ac:dyDescent="0.2">
      <c r="A29" s="4" t="s">
        <v>25</v>
      </c>
      <c r="B29" s="4"/>
      <c r="C29" s="4"/>
      <c r="D29" s="4"/>
      <c r="E29" s="4"/>
      <c r="F29" s="4"/>
      <c r="G29" s="4"/>
      <c r="H29" s="4"/>
      <c r="I29" s="4"/>
    </row>
    <row r="30" spans="1:9" x14ac:dyDescent="0.2">
      <c r="A30" s="5" t="s">
        <v>26</v>
      </c>
      <c r="B30" s="5"/>
      <c r="C30" s="5"/>
      <c r="D30" s="5"/>
      <c r="E30" s="5"/>
      <c r="F30" s="5"/>
      <c r="G30" s="5"/>
      <c r="H30" s="5"/>
      <c r="I30" s="5"/>
    </row>
    <row r="31" spans="1:9" x14ac:dyDescent="0.2">
      <c r="A31" s="5" t="s">
        <v>27</v>
      </c>
      <c r="B31" s="5"/>
      <c r="C31" s="5"/>
      <c r="D31" s="5"/>
      <c r="E31" s="5"/>
      <c r="F31" s="5"/>
      <c r="G31" s="5"/>
      <c r="H31" s="5"/>
      <c r="I31" s="5"/>
    </row>
    <row r="32" spans="1:9" ht="25.5" customHeight="1" x14ac:dyDescent="0.2">
      <c r="A32" s="3" t="s">
        <v>28</v>
      </c>
      <c r="B32" s="3"/>
      <c r="C32" s="3"/>
      <c r="D32" s="3"/>
      <c r="E32" s="3"/>
      <c r="F32" s="3"/>
      <c r="G32" s="3"/>
      <c r="H32" s="3"/>
      <c r="I32" s="3"/>
    </row>
  </sheetData>
  <mergeCells count="17">
    <mergeCell ref="A32:I32"/>
    <mergeCell ref="A27:I27"/>
    <mergeCell ref="A28:I28"/>
    <mergeCell ref="A29:I29"/>
    <mergeCell ref="A30:I30"/>
    <mergeCell ref="A31:I31"/>
    <mergeCell ref="B22:C22"/>
    <mergeCell ref="D22:E22"/>
    <mergeCell ref="B23:C23"/>
    <mergeCell ref="D23:E23"/>
    <mergeCell ref="A26:I26"/>
    <mergeCell ref="A1:I1"/>
    <mergeCell ref="A2:A17"/>
    <mergeCell ref="B2:D2"/>
    <mergeCell ref="B3:D17"/>
    <mergeCell ref="E3:E17"/>
    <mergeCell ref="F3:F17"/>
  </mergeCells>
  <pageMargins left="0.51180555555555496" right="0.51180555555555496" top="0.78749999999999998" bottom="0.78749999999999998" header="0.51180555555555496" footer="0.51180555555555496"/>
  <pageSetup paperSize="9" firstPageNumber="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290</TotalTime>
  <Application>Microsoft Excel</Application>
  <DocSecurity>0</DocSecurity>
  <ScaleCrop>false</ScaleCrop>
  <HeadingPairs>
    <vt:vector size="4" baseType="variant">
      <vt:variant>
        <vt:lpstr>Planilhas</vt:lpstr>
      </vt:variant>
      <vt:variant>
        <vt:i4>14</vt:i4>
      </vt:variant>
      <vt:variant>
        <vt:lpstr>Intervalos Nomeados</vt:lpstr>
      </vt:variant>
      <vt:variant>
        <vt:i4>1</vt:i4>
      </vt:variant>
    </vt:vector>
  </HeadingPairs>
  <TitlesOfParts>
    <vt:vector size="15"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TOTAL</vt:lpstr>
      <vt:lpstr>TOTAL!Area_de_impressao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Marconni Rodrigues de AlcGntara Santos</dc:creator>
  <dc:description/>
  <cp:lastModifiedBy>Milena Hereda</cp:lastModifiedBy>
  <cp:revision>6</cp:revision>
  <dcterms:created xsi:type="dcterms:W3CDTF">2019-01-16T20:04:04Z</dcterms:created>
  <dcterms:modified xsi:type="dcterms:W3CDTF">2020-07-01T18:52:56Z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